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2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drawings/drawing3.xml" ContentType="application/vnd.openxmlformats-officedocument.drawing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drawings/drawing4.xml" ContentType="application/vnd.openxmlformats-officedocument.drawing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drawings/drawing5.xml" ContentType="application/vnd.openxmlformats-officedocument.drawing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drawings/drawing6.xml" ContentType="application/vnd.openxmlformats-officedocument.drawing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drawings/drawing10.xml" ContentType="application/vnd.openxmlformats-officedocument.drawing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drawings/drawing13.xml" ContentType="application/vnd.openxmlformats-officedocument.drawing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Afspraken"/>
  <mc:AlternateContent xmlns:mc="http://schemas.openxmlformats.org/markup-compatibility/2006">
    <mc:Choice Requires="x15">
      <x15ac:absPath xmlns:x15ac="http://schemas.microsoft.com/office/spreadsheetml/2010/11/ac" url="\\psf\Dropbox\Excel\Afspraken 2016\TestOmgeving\Pelikaan\ICAP\"/>
    </mc:Choice>
  </mc:AlternateContent>
  <bookViews>
    <workbookView xWindow="-15" yWindow="6122" windowWidth="19233" windowHeight="6167" tabRatio="912" firstSheet="6" activeTab="11"/>
  </bookViews>
  <sheets>
    <sheet name="Global--&gt;" sheetId="76" r:id="rId1"/>
    <sheet name="GlobSettings" sheetId="75" r:id="rId2"/>
    <sheet name="GlobNames" sheetId="77" r:id="rId3"/>
    <sheet name="GlobBerOpm" sheetId="4" r:id="rId4"/>
    <sheet name="GlobBerConv" sheetId="25" r:id="rId5"/>
    <sheet name="GlobBerNorm" sheetId="19" r:id="rId6"/>
    <sheet name="GlobTemp" sheetId="7" r:id="rId7"/>
    <sheet name="Patient--&gt;" sheetId="65" r:id="rId8"/>
    <sheet name="PatDataText" sheetId="9" r:id="rId9"/>
    <sheet name="PatData" sheetId="8" r:id="rId10"/>
    <sheet name="PatDetails" sheetId="6" r:id="rId11"/>
    <sheet name="PedGuiMedIV" sheetId="10" r:id="rId12"/>
    <sheet name="Pediatrie--&gt;" sheetId="63" r:id="rId13"/>
    <sheet name="PedBerMedIV" sheetId="12" r:id="rId14"/>
    <sheet name="PedTblMedIV" sheetId="11" r:id="rId15"/>
    <sheet name="PedGuiMedDisc" sheetId="13" r:id="rId16"/>
    <sheet name="PedBerMedDisc" sheetId="14" r:id="rId17"/>
    <sheet name="PedTblMedDisc" sheetId="69" r:id="rId18"/>
    <sheet name="PedGuiPMenIV" sheetId="17" r:id="rId19"/>
    <sheet name="PedBerIVenPM" sheetId="18" r:id="rId20"/>
    <sheet name="PedTblIV" sheetId="70" r:id="rId21"/>
    <sheet name="PedGuiEntTPN" sheetId="20" r:id="rId22"/>
    <sheet name="PedBerEnt" sheetId="27" r:id="rId23"/>
    <sheet name="PedBerTot" sheetId="24" r:id="rId24"/>
    <sheet name="PedTblVoed" sheetId="26" r:id="rId25"/>
    <sheet name="PedGuiLab" sheetId="58" r:id="rId26"/>
    <sheet name="PedBerLab" sheetId="57" r:id="rId27"/>
    <sheet name="PedGuiAfsprExtra" sheetId="60" r:id="rId28"/>
    <sheet name="PedBerExtraAfspr" sheetId="59" r:id="rId29"/>
    <sheet name="PedTblAfsprExtra" sheetId="51" r:id="rId30"/>
    <sheet name="PedGuiAcuut" sheetId="3" r:id="rId31"/>
    <sheet name="PedTblLengte" sheetId="1" r:id="rId32"/>
    <sheet name="PedTblGew" sheetId="2" r:id="rId33"/>
    <sheet name="PedPrtAfspr" sheetId="5" r:id="rId34"/>
    <sheet name="PedPrtMedDisc" sheetId="16" r:id="rId35"/>
    <sheet name="PedTblTijden" sheetId="15" r:id="rId36"/>
    <sheet name="PedPrtTPN2tot6" sheetId="28" r:id="rId37"/>
    <sheet name="PedPrtTPN7tot15" sheetId="29" r:id="rId38"/>
    <sheet name="PedPrtTPN16tot30" sheetId="30" r:id="rId39"/>
    <sheet name="PedTPN31tot50" sheetId="31" r:id="rId40"/>
    <sheet name="PedPrtTPN50" sheetId="32" r:id="rId41"/>
    <sheet name="PedBerTPN" sheetId="21" r:id="rId42"/>
    <sheet name="Neo--&gt;" sheetId="64" r:id="rId43"/>
    <sheet name="NeoGuiAfspraken" sheetId="39" r:id="rId44"/>
    <sheet name="NeoBerIV" sheetId="45" r:id="rId45"/>
    <sheet name="NeoPrtWerkbrAct" sheetId="74" r:id="rId46"/>
    <sheet name="NeoAfspr1700" sheetId="73" r:id="rId47"/>
    <sheet name="NeoBer1700" sheetId="72" r:id="rId48"/>
    <sheet name="NeoPrtWerkbr" sheetId="36" r:id="rId49"/>
    <sheet name="NeoTblMedIV" sheetId="71" r:id="rId50"/>
    <sheet name="NeoBerAdvies" sheetId="40" r:id="rId51"/>
    <sheet name="NeoTblLijst" sheetId="42" r:id="rId52"/>
    <sheet name="NeoTblVoed" sheetId="68" r:id="rId53"/>
    <sheet name="NeoPrtMedDisc" sheetId="61" r:id="rId54"/>
    <sheet name="NeoTblTijden" sheetId="62" r:id="rId55"/>
    <sheet name="NeoGuiAfsprExtra" sheetId="50" r:id="rId56"/>
    <sheet name="NeoBerAfspr" sheetId="52" r:id="rId57"/>
    <sheet name="NeoGuiLab" sheetId="56" r:id="rId58"/>
    <sheet name="NeoBerLab" sheetId="55" r:id="rId59"/>
    <sheet name="NeoGuiAcuut" sheetId="49" r:id="rId60"/>
    <sheet name="NeoPrtAfspr" sheetId="33" r:id="rId61"/>
    <sheet name="NeoPrtApoth" sheetId="38" r:id="rId62"/>
  </sheets>
  <functionGroups builtInGroupCount="18"/>
  <definedNames>
    <definedName name="__0_PatNum">PatDetails!$A$2</definedName>
    <definedName name="__1_Bed">PatDetails!$J$2</definedName>
    <definedName name="__2_AchterNaam">PatDetails!$D$2</definedName>
    <definedName name="__3_VoorNaam">PatDetails!$E$2</definedName>
    <definedName name="__4_GebDatum">PatDetails!$F$2</definedName>
    <definedName name="_xlnm._FilterDatabase" localSheetId="2" hidden="1">GlobNames!$A$1:$I$1825</definedName>
    <definedName name="_xlnm._FilterDatabase" localSheetId="6" hidden="1">GlobTemp!$A$2:$B$437</definedName>
    <definedName name="_xlnm._FilterDatabase" localSheetId="9" hidden="1">PatData!$A$1:$P$576</definedName>
    <definedName name="_Glob_MedDisc_ATC_01">PedBerMedDisc!$AF$2</definedName>
    <definedName name="_Glob_MedDisc_ATC_02">PedBerMedDisc!$AF$3</definedName>
    <definedName name="_Glob_MedDisc_ATC_03">PedBerMedDisc!$AF$4</definedName>
    <definedName name="_Glob_MedDisc_ATC_04">PedBerMedDisc!$AF$5</definedName>
    <definedName name="_Glob_MedDisc_ATC_05">PedBerMedDisc!$AF$6</definedName>
    <definedName name="_Glob_MedDisc_ATC_06">PedBerMedDisc!$AF$7</definedName>
    <definedName name="_Glob_MedDisc_ATC_07">PedBerMedDisc!$AF$8</definedName>
    <definedName name="_Glob_MedDisc_ATC_08">PedBerMedDisc!$AF$9</definedName>
    <definedName name="_Glob_MedDisc_ATC_09">PedBerMedDisc!$AF$10</definedName>
    <definedName name="_Glob_MedDisc_ATC_10">PedBerMedDisc!$AF$11</definedName>
    <definedName name="_Glob_MedDisc_ATC_11">PedBerMedDisc!$AF$12</definedName>
    <definedName name="_Glob_MedDisc_ATC_12">PedBerMedDisc!$AF$13</definedName>
    <definedName name="_Glob_MedDisc_ATC_13">PedBerMedDisc!$AF$14</definedName>
    <definedName name="_Glob_MedDisc_ATC_14">PedBerMedDisc!$AF$15</definedName>
    <definedName name="_Glob_MedDisc_ATC_15">PedBerMedDisc!$AF$16</definedName>
    <definedName name="_Glob_MedDisc_ATC_16">PedBerMedDisc!$AF$17</definedName>
    <definedName name="_Glob_MedDisc_ATC_17">PedBerMedDisc!$AF$18</definedName>
    <definedName name="_Glob_MedDisc_ATC_18">PedBerMedDisc!$AF$19</definedName>
    <definedName name="_Glob_MedDisc_ATC_19">PedBerMedDisc!$AF$20</definedName>
    <definedName name="_Glob_MedDisc_ATC_20">PedBerMedDisc!$AF$21</definedName>
    <definedName name="_Glob_MedDisc_ATC_21">PedBerMedDisc!$AF$22</definedName>
    <definedName name="_Glob_MedDisc_ATC_22">PedBerMedDisc!$AF$23</definedName>
    <definedName name="_Glob_MedDisc_ATC_23">PedBerMedDisc!$AF$24</definedName>
    <definedName name="_Glob_MedDisc_ATC_24">PedBerMedDisc!$AF$25</definedName>
    <definedName name="_Glob_MedDisc_ATC_25">PedBerMedDisc!$AF$26</definedName>
    <definedName name="_Glob_MedDisc_ATC_26">PedBerMedDisc!$AF$27</definedName>
    <definedName name="_Glob_MedDisc_ATC_27">PedBerMedDisc!$AF$28</definedName>
    <definedName name="_Glob_MedDisc_ATC_28">PedBerMedDisc!$AF$29</definedName>
    <definedName name="_Glob_MedDisc_ATC_29">PedBerMedDisc!$AF$30</definedName>
    <definedName name="_Glob_MedDisc_ATC_30">PedBerMedDisc!$AF$31</definedName>
    <definedName name="_Glob_MedDisc_DoseEenh_01">PedBerMedDisc!$F$2</definedName>
    <definedName name="_Glob_MedDisc_DoseEenh_02">PedBerMedDisc!$F$3</definedName>
    <definedName name="_Glob_MedDisc_DoseEenh_03">PedBerMedDisc!$F$4</definedName>
    <definedName name="_Glob_MedDisc_DoseEenh_04">PedBerMedDisc!$F$5</definedName>
    <definedName name="_Glob_MedDisc_DoseEenh_05">PedBerMedDisc!$F$6</definedName>
    <definedName name="_Glob_MedDisc_DoseEenh_06">PedBerMedDisc!$F$7</definedName>
    <definedName name="_Glob_MedDisc_DoseEenh_07">PedBerMedDisc!$F$8</definedName>
    <definedName name="_Glob_MedDisc_DoseEenh_08">PedBerMedDisc!$F$9</definedName>
    <definedName name="_Glob_MedDisc_DoseEenh_09">PedBerMedDisc!$F$10</definedName>
    <definedName name="_Glob_MedDisc_DoseEenh_10">PedBerMedDisc!$F$11</definedName>
    <definedName name="_Glob_MedDisc_DoseEenh_11">PedBerMedDisc!$F$12</definedName>
    <definedName name="_Glob_MedDisc_DoseEenh_12">PedBerMedDisc!$F$13</definedName>
    <definedName name="_Glob_MedDisc_DoseEenh_13">PedBerMedDisc!$F$14</definedName>
    <definedName name="_Glob_MedDisc_DoseEenh_14">PedBerMedDisc!$F$15</definedName>
    <definedName name="_Glob_MedDisc_DoseEenh_15">PedBerMedDisc!$F$16</definedName>
    <definedName name="_Glob_MedDisc_DoseEenh_16">PedBerMedDisc!$F$17</definedName>
    <definedName name="_Glob_MedDisc_DoseEenh_17">PedBerMedDisc!$F$18</definedName>
    <definedName name="_Glob_MedDisc_DoseEenh_18">PedBerMedDisc!$F$19</definedName>
    <definedName name="_Glob_MedDisc_DoseEenh_19">PedBerMedDisc!$F$20</definedName>
    <definedName name="_Glob_MedDisc_DoseEenh_20">PedBerMedDisc!$F$21</definedName>
    <definedName name="_Glob_MedDisc_DoseEenh_21">PedBerMedDisc!$F$22</definedName>
    <definedName name="_Glob_MedDisc_DoseEenh_22">PedBerMedDisc!$F$23</definedName>
    <definedName name="_Glob_MedDisc_DoseEenh_23">PedBerMedDisc!$F$24</definedName>
    <definedName name="_Glob_MedDisc_DoseEenh_24">PedBerMedDisc!$F$25</definedName>
    <definedName name="_Glob_MedDisc_DoseEenh_25">PedBerMedDisc!$F$26</definedName>
    <definedName name="_Glob_MedDisc_DoseEenh_26">PedBerMedDisc!$F$27</definedName>
    <definedName name="_Glob_MedDisc_DoseEenh_27">PedBerMedDisc!$F$28</definedName>
    <definedName name="_Glob_MedDisc_DoseEenh_28">PedBerMedDisc!$F$29</definedName>
    <definedName name="_Glob_MedDisc_DoseEenh_29">PedBerMedDisc!$F$30</definedName>
    <definedName name="_Glob_MedDisc_DoseEenh_30">PedBerMedDisc!$F$31</definedName>
    <definedName name="_Glob_MedDisc_DoseHoev_01">PedBerMedDisc!$G$2</definedName>
    <definedName name="_Glob_MedDisc_DoseHoev_02">PedBerMedDisc!$G$3</definedName>
    <definedName name="_Glob_MedDisc_DoseHoev_03">PedBerMedDisc!$G$4</definedName>
    <definedName name="_Glob_MedDisc_DoseHoev_04">PedBerMedDisc!$G$5</definedName>
    <definedName name="_Glob_MedDisc_DoseHoev_05">PedBerMedDisc!$G$6</definedName>
    <definedName name="_Glob_MedDisc_DoseHoev_06">PedBerMedDisc!$G$7</definedName>
    <definedName name="_Glob_MedDisc_DoseHoev_07">PedBerMedDisc!$G$8</definedName>
    <definedName name="_Glob_MedDisc_DoseHoev_08">PedBerMedDisc!$G$9</definedName>
    <definedName name="_Glob_MedDisc_DoseHoev_09">PedBerMedDisc!$G$10</definedName>
    <definedName name="_Glob_MedDisc_DoseHoev_10">PedBerMedDisc!$G$11</definedName>
    <definedName name="_Glob_MedDisc_DoseHoev_11">PedBerMedDisc!$G$12</definedName>
    <definedName name="_Glob_MedDisc_DoseHoev_12">PedBerMedDisc!$G$13</definedName>
    <definedName name="_Glob_MedDisc_DoseHoev_13">PedBerMedDisc!$G$14</definedName>
    <definedName name="_Glob_MedDisc_DoseHoev_14">PedBerMedDisc!$G$15</definedName>
    <definedName name="_Glob_MedDisc_DoseHoev_15">PedBerMedDisc!$G$16</definedName>
    <definedName name="_Glob_MedDisc_DoseHoev_16">PedBerMedDisc!$G$17</definedName>
    <definedName name="_Glob_MedDisc_DoseHoev_17">PedBerMedDisc!$G$18</definedName>
    <definedName name="_Glob_MedDisc_DoseHoev_18">PedBerMedDisc!$G$19</definedName>
    <definedName name="_Glob_MedDisc_DoseHoev_19">PedBerMedDisc!$G$20</definedName>
    <definedName name="_Glob_MedDisc_DoseHoev_20">PedBerMedDisc!$G$21</definedName>
    <definedName name="_Glob_MedDisc_DoseHoev_21">PedBerMedDisc!$G$22</definedName>
    <definedName name="_Glob_MedDisc_DoseHoev_22">PedBerMedDisc!$G$23</definedName>
    <definedName name="_Glob_MedDisc_DoseHoev_23">PedBerMedDisc!$G$24</definedName>
    <definedName name="_Glob_MedDisc_DoseHoev_24">PedBerMedDisc!$G$25</definedName>
    <definedName name="_Glob_MedDisc_DoseHoev_25">PedBerMedDisc!$G$26</definedName>
    <definedName name="_Glob_MedDisc_DoseHoev_26">PedBerMedDisc!$G$27</definedName>
    <definedName name="_Glob_MedDisc_DoseHoev_27">PedBerMedDisc!$G$28</definedName>
    <definedName name="_Glob_MedDisc_DoseHoev_28">PedBerMedDisc!$G$29</definedName>
    <definedName name="_Glob_MedDisc_DoseHoev_29">PedBerMedDisc!$G$30</definedName>
    <definedName name="_Glob_MedDisc_DoseHoev_30">PedBerMedDisc!$G$31</definedName>
    <definedName name="_Glob_MedDisc_Etiket_01">PedBerMedDisc!$AI$2</definedName>
    <definedName name="_Glob_MedDisc_Etiket_02">PedBerMedDisc!$AI$3</definedName>
    <definedName name="_Glob_MedDisc_Etiket_03">PedBerMedDisc!$AI$4</definedName>
    <definedName name="_Glob_MedDisc_Etiket_04">PedBerMedDisc!$AI$5</definedName>
    <definedName name="_Glob_MedDisc_Etiket_05">PedBerMedDisc!$AI$6</definedName>
    <definedName name="_Glob_MedDisc_Etiket_06">PedBerMedDisc!$AI$7</definedName>
    <definedName name="_Glob_MedDisc_Etiket_07">PedBerMedDisc!$AI$8</definedName>
    <definedName name="_Glob_MedDisc_Etiket_08">PedBerMedDisc!$AI$9</definedName>
    <definedName name="_Glob_MedDisc_Etiket_09">PedBerMedDisc!$AI$10</definedName>
    <definedName name="_Glob_MedDisc_Etiket_10">PedBerMedDisc!$AI$11</definedName>
    <definedName name="_Glob_MedDisc_Etiket_11">PedBerMedDisc!$AI$12</definedName>
    <definedName name="_Glob_MedDisc_Etiket_12">PedBerMedDisc!$AI$13</definedName>
    <definedName name="_Glob_MedDisc_Etiket_13">PedBerMedDisc!$AI$14</definedName>
    <definedName name="_Glob_MedDisc_Etiket_14">PedBerMedDisc!$AI$15</definedName>
    <definedName name="_Glob_MedDisc_Etiket_15">PedBerMedDisc!$AI$16</definedName>
    <definedName name="_Glob_MedDisc_Etiket_16">PedBerMedDisc!$AI$17</definedName>
    <definedName name="_Glob_MedDisc_Etiket_17">PedBerMedDisc!$AI$18</definedName>
    <definedName name="_Glob_MedDisc_Etiket_18">PedBerMedDisc!$AI$19</definedName>
    <definedName name="_Glob_MedDisc_Etiket_19">PedBerMedDisc!$AI$20</definedName>
    <definedName name="_Glob_MedDisc_Etiket_20">PedBerMedDisc!$AI$21</definedName>
    <definedName name="_Glob_MedDisc_Etiket_21">PedBerMedDisc!$AI$22</definedName>
    <definedName name="_Glob_MedDisc_Etiket_22">PedBerMedDisc!$AI$23</definedName>
    <definedName name="_Glob_MedDisc_Etiket_23">PedBerMedDisc!$AI$24</definedName>
    <definedName name="_Glob_MedDisc_Etiket_24">PedBerMedDisc!$AI$25</definedName>
    <definedName name="_Glob_MedDisc_Etiket_25">PedBerMedDisc!$AI$26</definedName>
    <definedName name="_Glob_MedDisc_Etiket_26">PedBerMedDisc!$AI$27</definedName>
    <definedName name="_Glob_MedDisc_Etiket_27">PedBerMedDisc!$AI$28</definedName>
    <definedName name="_Glob_MedDisc_Etiket_28">PedBerMedDisc!$AI$29</definedName>
    <definedName name="_Glob_MedDisc_Etiket_29">PedBerMedDisc!$AI$30</definedName>
    <definedName name="_Glob_MedDisc_Etiket_30">PedBerMedDisc!$AI$31</definedName>
    <definedName name="_Glob_MedDisc_Generic_01">PedBerMedDisc!$D$2</definedName>
    <definedName name="_Glob_MedDisc_Generic_02">PedBerMedDisc!$D$3</definedName>
    <definedName name="_Glob_MedDisc_Generic_03">PedBerMedDisc!$D$4</definedName>
    <definedName name="_Glob_MedDisc_Generic_04">PedBerMedDisc!$D$5</definedName>
    <definedName name="_Glob_MedDisc_Generic_05">PedBerMedDisc!$D$6</definedName>
    <definedName name="_Glob_MedDisc_Generic_06">PedBerMedDisc!$D$7</definedName>
    <definedName name="_Glob_MedDisc_Generic_07">PedBerMedDisc!$D$8</definedName>
    <definedName name="_Glob_MedDisc_Generic_08">PedBerMedDisc!$D$9</definedName>
    <definedName name="_Glob_MedDisc_Generic_09">PedBerMedDisc!$D$10</definedName>
    <definedName name="_Glob_MedDisc_Generic_10">PedBerMedDisc!$D$11</definedName>
    <definedName name="_Glob_MedDisc_Generic_11">PedBerMedDisc!$D$12</definedName>
    <definedName name="_Glob_MedDisc_Generic_12">PedBerMedDisc!$D$13</definedName>
    <definedName name="_Glob_MedDisc_Generic_13">PedBerMedDisc!$D$14</definedName>
    <definedName name="_Glob_MedDisc_Generic_14">PedBerMedDisc!$D$15</definedName>
    <definedName name="_Glob_MedDisc_Generic_15">PedBerMedDisc!$D$16</definedName>
    <definedName name="_Glob_MedDisc_Generic_16">PedBerMedDisc!$D$17</definedName>
    <definedName name="_Glob_MedDisc_Generic_17">PedBerMedDisc!$D$18</definedName>
    <definedName name="_Glob_MedDisc_Generic_18">PedBerMedDisc!$D$19</definedName>
    <definedName name="_Glob_MedDisc_Generic_19">PedBerMedDisc!$D$20</definedName>
    <definedName name="_Glob_MedDisc_Generic_20">PedBerMedDisc!$D$21</definedName>
    <definedName name="_Glob_MedDisc_Generic_21">PedBerMedDisc!$D$22</definedName>
    <definedName name="_Glob_MedDisc_Generic_22">PedBerMedDisc!$D$23</definedName>
    <definedName name="_Glob_MedDisc_Generic_23">PedBerMedDisc!$D$24</definedName>
    <definedName name="_Glob_MedDisc_Generic_24">PedBerMedDisc!$D$25</definedName>
    <definedName name="_Glob_MedDisc_Generic_25">PedBerMedDisc!$D$26</definedName>
    <definedName name="_Glob_MedDisc_Generic_26">PedBerMedDisc!$D$27</definedName>
    <definedName name="_Glob_MedDisc_Generic_27">PedBerMedDisc!$D$28</definedName>
    <definedName name="_Glob_MedDisc_Generic_28">PedBerMedDisc!$D$29</definedName>
    <definedName name="_Glob_MedDisc_Generic_29">PedBerMedDisc!$D$30</definedName>
    <definedName name="_Glob_MedDisc_Generic_30">PedBerMedDisc!$D$31</definedName>
    <definedName name="_Glob_MedDisc_GPK_01">PedBerMedDisc!$U$2</definedName>
    <definedName name="_Glob_MedDisc_GPK_02">PedBerMedDisc!$U$3</definedName>
    <definedName name="_Glob_MedDisc_GPK_03">PedBerMedDisc!$U$4</definedName>
    <definedName name="_Glob_MedDisc_GPK_04">PedBerMedDisc!$U$5</definedName>
    <definedName name="_Glob_MedDisc_GPK_05">PedBerMedDisc!$U$6</definedName>
    <definedName name="_Glob_MedDisc_GPK_06">PedBerMedDisc!$U$7</definedName>
    <definedName name="_Glob_MedDisc_GPK_07">PedBerMedDisc!$U$8</definedName>
    <definedName name="_Glob_MedDisc_GPK_08">PedBerMedDisc!$U$9</definedName>
    <definedName name="_Glob_MedDisc_GPK_09">PedBerMedDisc!$U$10</definedName>
    <definedName name="_Glob_MedDisc_GPK_10">PedBerMedDisc!$U$11</definedName>
    <definedName name="_Glob_MedDisc_GPK_11">PedBerMedDisc!$U$12</definedName>
    <definedName name="_Glob_MedDisc_GPK_12">PedBerMedDisc!$U$13</definedName>
    <definedName name="_Glob_MedDisc_GPK_13">PedBerMedDisc!$U$14</definedName>
    <definedName name="_Glob_MedDisc_GPK_14">PedBerMedDisc!$U$15</definedName>
    <definedName name="_Glob_MedDisc_GPK_15">PedBerMedDisc!$U$16</definedName>
    <definedName name="_Glob_MedDisc_GPK_16">PedBerMedDisc!$U$17</definedName>
    <definedName name="_Glob_MedDisc_GPK_17">PedBerMedDisc!$U$18</definedName>
    <definedName name="_Glob_MedDisc_GPK_18">PedBerMedDisc!$U$19</definedName>
    <definedName name="_Glob_MedDisc_GPK_19">PedBerMedDisc!$U$20</definedName>
    <definedName name="_Glob_MedDisc_GPK_20">PedBerMedDisc!$U$21</definedName>
    <definedName name="_Glob_MedDisc_GPK_21">PedBerMedDisc!$U$22</definedName>
    <definedName name="_Glob_MedDisc_GPK_22">PedBerMedDisc!$U$23</definedName>
    <definedName name="_Glob_MedDisc_GPK_23">PedBerMedDisc!$U$24</definedName>
    <definedName name="_Glob_MedDisc_GPK_24">PedBerMedDisc!$U$25</definedName>
    <definedName name="_Glob_MedDisc_GPK_25">PedBerMedDisc!$U$26</definedName>
    <definedName name="_Glob_MedDisc_GPK_26">PedBerMedDisc!$U$27</definedName>
    <definedName name="_Glob_MedDisc_GPK_27">PedBerMedDisc!$U$28</definedName>
    <definedName name="_Glob_MedDisc_GPK_28">PedBerMedDisc!$U$29</definedName>
    <definedName name="_Glob_MedDisc_GPK_29">PedBerMedDisc!$U$30</definedName>
    <definedName name="_Glob_MedDisc_GPK_30">PedBerMedDisc!$U$31</definedName>
    <definedName name="_Glob_MedDisc_Ind_01">PedBerMedDisc!$B$2</definedName>
    <definedName name="_Glob_MedDisc_Ind_02">PedBerMedDisc!$B$3</definedName>
    <definedName name="_Glob_MedDisc_Ind_03">PedBerMedDisc!$B$4</definedName>
    <definedName name="_Glob_MedDisc_Ind_04">PedBerMedDisc!$B$5</definedName>
    <definedName name="_Glob_MedDisc_Ind_05">PedBerMedDisc!$B$6</definedName>
    <definedName name="_Glob_MedDisc_Ind_06">PedBerMedDisc!$B$7</definedName>
    <definedName name="_Glob_MedDisc_Ind_07">PedBerMedDisc!$B$8</definedName>
    <definedName name="_Glob_MedDisc_Ind_08">PedBerMedDisc!$B$9</definedName>
    <definedName name="_Glob_MedDisc_Ind_09">PedBerMedDisc!$B$10</definedName>
    <definedName name="_Glob_MedDisc_Ind_10">PedBerMedDisc!$B$11</definedName>
    <definedName name="_Glob_MedDisc_Ind_11">PedBerMedDisc!$B$12</definedName>
    <definedName name="_Glob_MedDisc_Ind_12">PedBerMedDisc!$B$13</definedName>
    <definedName name="_Glob_MedDisc_Ind_13">PedBerMedDisc!$B$14</definedName>
    <definedName name="_Glob_MedDisc_Ind_14">PedBerMedDisc!$B$15</definedName>
    <definedName name="_Glob_MedDisc_Ind_15">PedBerMedDisc!$B$16</definedName>
    <definedName name="_Glob_MedDisc_Ind_16">PedBerMedDisc!$B$17</definedName>
    <definedName name="_Glob_MedDisc_Ind_17">PedBerMedDisc!$B$18</definedName>
    <definedName name="_Glob_MedDisc_Ind_18">PedBerMedDisc!$B$19</definedName>
    <definedName name="_Glob_MedDisc_Ind_19">PedBerMedDisc!$B$20</definedName>
    <definedName name="_Glob_MedDisc_Ind_20">PedBerMedDisc!$B$21</definedName>
    <definedName name="_Glob_MedDisc_Ind_21">PedBerMedDisc!$B$22</definedName>
    <definedName name="_Glob_MedDisc_Ind_22">PedBerMedDisc!$B$23</definedName>
    <definedName name="_Glob_MedDisc_Ind_23">PedBerMedDisc!$B$24</definedName>
    <definedName name="_Glob_MedDisc_Ind_24">PedBerMedDisc!$B$25</definedName>
    <definedName name="_Glob_MedDisc_Ind_25">PedBerMedDisc!$B$26</definedName>
    <definedName name="_Glob_MedDisc_Ind_26">PedBerMedDisc!$B$27</definedName>
    <definedName name="_Glob_MedDisc_Ind_27">PedBerMedDisc!$B$28</definedName>
    <definedName name="_Glob_MedDisc_Ind_28">PedBerMedDisc!$B$29</definedName>
    <definedName name="_Glob_MedDisc_Ind_29">PedBerMedDisc!$B$30</definedName>
    <definedName name="_Glob_MedDisc_Ind_30">PedBerMedDisc!$B$31</definedName>
    <definedName name="_Glob_MedDisc_Inloop_01">PedBerMedDisc!$Q$2</definedName>
    <definedName name="_Glob_MedDisc_Inloop_02">PedBerMedDisc!$Q$3</definedName>
    <definedName name="_Glob_MedDisc_Inloop_03">PedBerMedDisc!$Q$4</definedName>
    <definedName name="_Glob_MedDisc_Inloop_04">PedBerMedDisc!$Q$5</definedName>
    <definedName name="_Glob_MedDisc_Inloop_05">PedBerMedDisc!$Q$6</definedName>
    <definedName name="_Glob_MedDisc_Inloop_06">PedBerMedDisc!$Q$7</definedName>
    <definedName name="_Glob_MedDisc_Inloop_07">PedBerMedDisc!$Q$8</definedName>
    <definedName name="_Glob_MedDisc_Inloop_08">PedBerMedDisc!$Q$9</definedName>
    <definedName name="_Glob_MedDisc_Inloop_09">PedBerMedDisc!$Q$10</definedName>
    <definedName name="_Glob_MedDisc_Inloop_10">PedBerMedDisc!$Q$11</definedName>
    <definedName name="_Glob_MedDisc_Inloop_11">PedBerMedDisc!$Q$12</definedName>
    <definedName name="_Glob_MedDisc_Inloop_12">PedBerMedDisc!$Q$13</definedName>
    <definedName name="_Glob_MedDisc_Inloop_13">PedBerMedDisc!$Q$14</definedName>
    <definedName name="_Glob_MedDisc_Inloop_14">PedBerMedDisc!$Q$15</definedName>
    <definedName name="_Glob_MedDisc_Inloop_15">PedBerMedDisc!$Q$16</definedName>
    <definedName name="_Glob_MedDisc_Inloop_16">PedBerMedDisc!$Q$17</definedName>
    <definedName name="_Glob_MedDisc_Inloop_17">PedBerMedDisc!$Q$18</definedName>
    <definedName name="_Glob_MedDisc_Inloop_18">PedBerMedDisc!$Q$19</definedName>
    <definedName name="_Glob_MedDisc_Inloop_19">PedBerMedDisc!$Q$20</definedName>
    <definedName name="_Glob_MedDisc_Inloop_20">PedBerMedDisc!$Q$21</definedName>
    <definedName name="_Glob_MedDisc_Inloop_21">PedBerMedDisc!$Q$22</definedName>
    <definedName name="_Glob_MedDisc_Inloop_22">PedBerMedDisc!$Q$23</definedName>
    <definedName name="_Glob_MedDisc_Inloop_23">PedBerMedDisc!$Q$24</definedName>
    <definedName name="_Glob_MedDisc_Inloop_24">PedBerMedDisc!$Q$25</definedName>
    <definedName name="_Glob_MedDisc_Inloop_25">PedBerMedDisc!$Q$26</definedName>
    <definedName name="_Glob_MedDisc_Inloop_26">PedBerMedDisc!$Q$27</definedName>
    <definedName name="_Glob_MedDisc_Inloop_27">PedBerMedDisc!$Q$28</definedName>
    <definedName name="_Glob_MedDisc_Inloop_28">PedBerMedDisc!$Q$29</definedName>
    <definedName name="_Glob_MedDisc_Inloop_29">PedBerMedDisc!$Q$30</definedName>
    <definedName name="_Glob_MedDisc_Inloop_30">PedBerMedDisc!$Q$31</definedName>
    <definedName name="_Glob_MedDisc_Keuze_01">PedBerMedDisc!$C$2</definedName>
    <definedName name="_Glob_MedDisc_Keuze_02">PedBerMedDisc!$C$3</definedName>
    <definedName name="_Glob_MedDisc_Keuze_03">PedBerMedDisc!$C$4</definedName>
    <definedName name="_Glob_MedDisc_Keuze_04">PedBerMedDisc!$C$5</definedName>
    <definedName name="_Glob_MedDisc_Keuze_05">PedBerMedDisc!$C$6</definedName>
    <definedName name="_Glob_MedDisc_Keuze_06">PedBerMedDisc!$C$7</definedName>
    <definedName name="_Glob_MedDisc_Keuze_07">PedBerMedDisc!$C$8</definedName>
    <definedName name="_Glob_MedDisc_Keuze_08">PedBerMedDisc!$C$9</definedName>
    <definedName name="_Glob_MedDisc_Keuze_09">PedBerMedDisc!$C$10</definedName>
    <definedName name="_Glob_MedDisc_Keuze_10">PedBerMedDisc!$C$11</definedName>
    <definedName name="_Glob_MedDisc_Keuze_11">PedBerMedDisc!$C$12</definedName>
    <definedName name="_Glob_MedDisc_Keuze_12">PedBerMedDisc!$C$13</definedName>
    <definedName name="_Glob_MedDisc_Keuze_13">PedBerMedDisc!$C$14</definedName>
    <definedName name="_Glob_MedDisc_Keuze_14">PedBerMedDisc!$C$15</definedName>
    <definedName name="_Glob_MedDisc_Keuze_15">PedBerMedDisc!$C$16</definedName>
    <definedName name="_Glob_MedDisc_Keuze_16">PedBerMedDisc!$C$17</definedName>
    <definedName name="_Glob_MedDisc_Keuze_17">PedBerMedDisc!$C$18</definedName>
    <definedName name="_Glob_MedDisc_Keuze_18">PedBerMedDisc!$C$19</definedName>
    <definedName name="_Glob_MedDisc_Keuze_19">PedBerMedDisc!$C$20</definedName>
    <definedName name="_Glob_MedDisc_Keuze_20">PedBerMedDisc!$C$21</definedName>
    <definedName name="_Glob_MedDisc_Keuze_21">PedBerMedDisc!$C$22</definedName>
    <definedName name="_Glob_MedDisc_Keuze_22">PedBerMedDisc!$C$23</definedName>
    <definedName name="_Glob_MedDisc_Keuze_23">PedBerMedDisc!$C$24</definedName>
    <definedName name="_Glob_MedDisc_Keuze_24">PedBerMedDisc!$C$25</definedName>
    <definedName name="_Glob_MedDisc_Keuze_25">PedBerMedDisc!$C$26</definedName>
    <definedName name="_Glob_MedDisc_Keuze_26">PedBerMedDisc!$C$27</definedName>
    <definedName name="_Glob_MedDisc_Keuze_27">PedBerMedDisc!$C$28</definedName>
    <definedName name="_Glob_MedDisc_Keuze_28">PedBerMedDisc!$C$29</definedName>
    <definedName name="_Glob_MedDisc_Keuze_29">PedBerMedDisc!$C$30</definedName>
    <definedName name="_Glob_MedDisc_Keuze_30">PedBerMedDisc!$C$31</definedName>
    <definedName name="_Glob_MedDisc_OplKeuze_01">PedBerMedDisc!$O$2</definedName>
    <definedName name="_Glob_MedDisc_OplKeuze_02">PedBerMedDisc!$O$3</definedName>
    <definedName name="_Glob_MedDisc_OplKeuze_03">PedBerMedDisc!$O$4</definedName>
    <definedName name="_Glob_MedDisc_OplKeuze_04">PedBerMedDisc!$O$5</definedName>
    <definedName name="_Glob_MedDisc_OplKeuze_05">PedBerMedDisc!$O$6</definedName>
    <definedName name="_Glob_MedDisc_OplKeuze_06">PedBerMedDisc!$O$7</definedName>
    <definedName name="_Glob_MedDisc_OplKeuze_07">PedBerMedDisc!$O$8</definedName>
    <definedName name="_Glob_MedDisc_OplKeuze_08">PedBerMedDisc!$O$9</definedName>
    <definedName name="_Glob_MedDisc_OplKeuze_09">PedBerMedDisc!$O$10</definedName>
    <definedName name="_Glob_MedDisc_OplKeuze_10">PedBerMedDisc!$O$11</definedName>
    <definedName name="_Glob_MedDisc_OplKeuze_11">PedBerMedDisc!$O$12</definedName>
    <definedName name="_Glob_MedDisc_OplKeuze_12">PedBerMedDisc!$O$13</definedName>
    <definedName name="_Glob_MedDisc_OplKeuze_13">PedBerMedDisc!$O$14</definedName>
    <definedName name="_Glob_MedDisc_OplKeuze_14">PedBerMedDisc!$O$15</definedName>
    <definedName name="_Glob_MedDisc_OplKeuze_15">PedBerMedDisc!$O$16</definedName>
    <definedName name="_Glob_MedDisc_OplKeuze_16">PedBerMedDisc!$O$17</definedName>
    <definedName name="_Glob_MedDisc_OplKeuze_17">PedBerMedDisc!$O$18</definedName>
    <definedName name="_Glob_MedDisc_OplKeuze_18">PedBerMedDisc!$O$19</definedName>
    <definedName name="_Glob_MedDisc_OplKeuze_19">PedBerMedDisc!$O$20</definedName>
    <definedName name="_Glob_MedDisc_OplKeuze_20">PedBerMedDisc!$O$21</definedName>
    <definedName name="_Glob_MedDisc_OplKeuze_21">PedBerMedDisc!$O$22</definedName>
    <definedName name="_Glob_MedDisc_OplKeuze_22">PedBerMedDisc!$O$23</definedName>
    <definedName name="_Glob_MedDisc_OplKeuze_23">PedBerMedDisc!$O$24</definedName>
    <definedName name="_Glob_MedDisc_OplKeuze_24">PedBerMedDisc!$O$25</definedName>
    <definedName name="_Glob_MedDisc_OplKeuze_25">PedBerMedDisc!$O$26</definedName>
    <definedName name="_Glob_MedDisc_OplKeuze_26">PedBerMedDisc!$O$27</definedName>
    <definedName name="_Glob_MedDisc_OplKeuze_27">PedBerMedDisc!$O$28</definedName>
    <definedName name="_Glob_MedDisc_OplKeuze_28">PedBerMedDisc!$O$29</definedName>
    <definedName name="_Glob_MedDisc_OplKeuze_29">PedBerMedDisc!$O$30</definedName>
    <definedName name="_Glob_MedDisc_OplKeuze_30">PedBerMedDisc!$O$31</definedName>
    <definedName name="_Glob_MedDisc_OplVol_01">PedBerMedDisc!$N$2</definedName>
    <definedName name="_Glob_MedDisc_OplVol_02">PedBerMedDisc!$N$3</definedName>
    <definedName name="_Glob_MedDisc_OplVol_03">PedBerMedDisc!$N$4</definedName>
    <definedName name="_Glob_MedDisc_OplVol_04">PedBerMedDisc!$N$5</definedName>
    <definedName name="_Glob_MedDisc_OplVol_05">PedBerMedDisc!$N$6</definedName>
    <definedName name="_Glob_MedDisc_OplVol_06">PedBerMedDisc!$N$7</definedName>
    <definedName name="_Glob_MedDisc_OplVol_07">PedBerMedDisc!$N$8</definedName>
    <definedName name="_Glob_MedDisc_OplVol_08">PedBerMedDisc!$N$9</definedName>
    <definedName name="_Glob_MedDisc_OplVol_09">PedBerMedDisc!$N$10</definedName>
    <definedName name="_Glob_MedDisc_OplVol_10">PedBerMedDisc!$N$11</definedName>
    <definedName name="_Glob_MedDisc_OplVol_11">PedBerMedDisc!$N$12</definedName>
    <definedName name="_Glob_MedDisc_OplVol_12">PedBerMedDisc!$N$13</definedName>
    <definedName name="_Glob_MedDisc_OplVol_13">PedBerMedDisc!$N$14</definedName>
    <definedName name="_Glob_MedDisc_OplVol_14">PedBerMedDisc!$N$15</definedName>
    <definedName name="_Glob_MedDisc_OplVol_15">PedBerMedDisc!$N$16</definedName>
    <definedName name="_Glob_MedDisc_OplVol_16">PedBerMedDisc!$N$17</definedName>
    <definedName name="_Glob_MedDisc_OplVol_17">PedBerMedDisc!$N$18</definedName>
    <definedName name="_Glob_MedDisc_OplVol_18">PedBerMedDisc!$N$19</definedName>
    <definedName name="_Glob_MedDisc_OplVol_19">PedBerMedDisc!$N$20</definedName>
    <definedName name="_Glob_MedDisc_OplVol_20">PedBerMedDisc!$N$21</definedName>
    <definedName name="_Glob_MedDisc_OplVol_21">PedBerMedDisc!$N$22</definedName>
    <definedName name="_Glob_MedDisc_OplVol_22">PedBerMedDisc!$N$23</definedName>
    <definedName name="_Glob_MedDisc_OplVol_23">PedBerMedDisc!$N$24</definedName>
    <definedName name="_Glob_MedDisc_OplVol_24">PedBerMedDisc!$N$25</definedName>
    <definedName name="_Glob_MedDisc_OplVol_25">PedBerMedDisc!$N$26</definedName>
    <definedName name="_Glob_MedDisc_OplVol_26">PedBerMedDisc!$N$27</definedName>
    <definedName name="_Glob_MedDisc_OplVol_27">PedBerMedDisc!$N$28</definedName>
    <definedName name="_Glob_MedDisc_OplVol_28">PedBerMedDisc!$N$29</definedName>
    <definedName name="_Glob_MedDisc_OplVol_29">PedBerMedDisc!$N$30</definedName>
    <definedName name="_Glob_MedDisc_OplVol_30">PedBerMedDisc!$N$31</definedName>
    <definedName name="_Glob_MedDisc_Opm_01">GlobBerOpm!$C$7</definedName>
    <definedName name="_Glob_MedDisc_Opm_02">GlobBerOpm!$C$8</definedName>
    <definedName name="_Glob_MedDisc_Opm_03">GlobBerOpm!$C$9</definedName>
    <definedName name="_Glob_MedDisc_Opm_04">GlobBerOpm!$C$10</definedName>
    <definedName name="_Glob_MedDisc_Opm_05">GlobBerOpm!$C$11</definedName>
    <definedName name="_Glob_MedDisc_Opm_06">GlobBerOpm!$C$12</definedName>
    <definedName name="_Glob_MedDisc_Opm_07">GlobBerOpm!$C$13</definedName>
    <definedName name="_Glob_MedDisc_Opm_08">GlobBerOpm!$C$14</definedName>
    <definedName name="_Glob_MedDisc_Opm_09">GlobBerOpm!$C$15</definedName>
    <definedName name="_Glob_MedDisc_Opm_10">GlobBerOpm!$C$16</definedName>
    <definedName name="_Glob_MedDisc_Opm_11">GlobBerOpm!$C$17</definedName>
    <definedName name="_Glob_MedDisc_Opm_12">GlobBerOpm!$C$18</definedName>
    <definedName name="_Glob_MedDisc_Opm_13">GlobBerOpm!$C$19</definedName>
    <definedName name="_Glob_MedDisc_Opm_14">GlobBerOpm!$C$20</definedName>
    <definedName name="_Glob_MedDisc_Opm_15">GlobBerOpm!$C$21</definedName>
    <definedName name="_Glob_MedDisc_Opm_16">GlobBerOpm!$C$22</definedName>
    <definedName name="_Glob_MedDisc_Opm_17">GlobBerOpm!$C$23</definedName>
    <definedName name="_Glob_MedDisc_Opm_18">GlobBerOpm!$C$24</definedName>
    <definedName name="_Glob_MedDisc_Opm_19">GlobBerOpm!$C$25</definedName>
    <definedName name="_Glob_MedDisc_Opm_20">GlobBerOpm!$C$26</definedName>
    <definedName name="_Glob_MedDisc_Opm_21">GlobBerOpm!$C$27</definedName>
    <definedName name="_Glob_MedDisc_Opm_22">GlobBerOpm!$C$28</definedName>
    <definedName name="_Glob_MedDisc_Opm_23">GlobBerOpm!$C$29</definedName>
    <definedName name="_Glob_MedDisc_Opm_24">GlobBerOpm!$C$30</definedName>
    <definedName name="_Glob_MedDisc_Opm_25">GlobBerOpm!$C$31</definedName>
    <definedName name="_Glob_MedDisc_Opm_26">GlobBerOpm!$C$32</definedName>
    <definedName name="_Glob_MedDisc_Opm_27">GlobBerOpm!$C$33</definedName>
    <definedName name="_Glob_MedDisc_Opm_28">GlobBerOpm!$C$34</definedName>
    <definedName name="_Glob_MedDisc_Opm_29">GlobBerOpm!$C$35</definedName>
    <definedName name="_Glob_MedDisc_Opm_30">GlobBerOpm!$C$36</definedName>
    <definedName name="_Glob_MedDisc_StandDose_01">PedBerMedDisc!$E$2</definedName>
    <definedName name="_Glob_MedDisc_StandDose_02">PedBerMedDisc!$E$3</definedName>
    <definedName name="_Glob_MedDisc_StandDose_03">PedBerMedDisc!$E$4</definedName>
    <definedName name="_Glob_MedDisc_StandDose_04">PedBerMedDisc!$E$5</definedName>
    <definedName name="_Glob_MedDisc_StandDose_05">PedBerMedDisc!$E$6</definedName>
    <definedName name="_Glob_MedDisc_StandDose_06">PedBerMedDisc!$E$7</definedName>
    <definedName name="_Glob_MedDisc_StandDose_07">PedBerMedDisc!$E$8</definedName>
    <definedName name="_Glob_MedDisc_StandDose_08">PedBerMedDisc!$E$9</definedName>
    <definedName name="_Glob_MedDisc_StandDose_09">PedBerMedDisc!$E$10</definedName>
    <definedName name="_Glob_MedDisc_StandDose_10">PedBerMedDisc!$E$11</definedName>
    <definedName name="_Glob_MedDisc_StandDose_11">PedBerMedDisc!$E$12</definedName>
    <definedName name="_Glob_MedDisc_StandDose_12">PedBerMedDisc!$E$13</definedName>
    <definedName name="_Glob_MedDisc_StandDose_13">PedBerMedDisc!$E$14</definedName>
    <definedName name="_Glob_MedDisc_StandDose_14">PedBerMedDisc!$E$15</definedName>
    <definedName name="_Glob_MedDisc_StandDose_15">PedBerMedDisc!$E$16</definedName>
    <definedName name="_Glob_MedDisc_StandDose_16">PedBerMedDisc!$E$17</definedName>
    <definedName name="_Glob_MedDisc_StandDose_17">PedBerMedDisc!$E$18</definedName>
    <definedName name="_Glob_MedDisc_StandDose_18">PedBerMedDisc!$E$19</definedName>
    <definedName name="_Glob_MedDisc_StandDose_19">PedBerMedDisc!$E$20</definedName>
    <definedName name="_Glob_MedDisc_StandDose_20">PedBerMedDisc!$E$21</definedName>
    <definedName name="_Glob_MedDisc_StandDose_21">PedBerMedDisc!$E$22</definedName>
    <definedName name="_Glob_MedDisc_StandDose_22">PedBerMedDisc!$E$23</definedName>
    <definedName name="_Glob_MedDisc_StandDose_23">PedBerMedDisc!$E$24</definedName>
    <definedName name="_Glob_MedDisc_StandDose_24">PedBerMedDisc!$E$25</definedName>
    <definedName name="_Glob_MedDisc_StandDose_25">PedBerMedDisc!$E$26</definedName>
    <definedName name="_Glob_MedDisc_StandDose_26">PedBerMedDisc!$E$27</definedName>
    <definedName name="_Glob_MedDisc_StandDose_27">PedBerMedDisc!$E$28</definedName>
    <definedName name="_Glob_MedDisc_StandDose_28">PedBerMedDisc!$E$29</definedName>
    <definedName name="_Glob_MedDisc_StandDose_29">PedBerMedDisc!$E$30</definedName>
    <definedName name="_Glob_MedDisc_StandDose_30">PedBerMedDisc!$E$31</definedName>
    <definedName name="_Glob_MedDisc_Sterkte_01">PedBerMedDisc!$AG$2</definedName>
    <definedName name="_Glob_MedDisc_Sterkte_02">PedBerMedDisc!$AG$3</definedName>
    <definedName name="_Glob_MedDisc_Sterkte_03">PedBerMedDisc!$AG$4</definedName>
    <definedName name="_Glob_MedDisc_Sterkte_04">PedBerMedDisc!$AG$5</definedName>
    <definedName name="_Glob_MedDisc_Sterkte_05">PedBerMedDisc!$AG$6</definedName>
    <definedName name="_Glob_MedDisc_Sterkte_06">PedBerMedDisc!$AG$7</definedName>
    <definedName name="_Glob_MedDisc_Sterkte_07">PedBerMedDisc!$AG$8</definedName>
    <definedName name="_Glob_MedDisc_Sterkte_08">PedBerMedDisc!$AG$9</definedName>
    <definedName name="_Glob_MedDisc_Sterkte_09">PedBerMedDisc!$AG$10</definedName>
    <definedName name="_Glob_MedDisc_Sterkte_10">PedBerMedDisc!$AG$11</definedName>
    <definedName name="_Glob_MedDisc_Sterkte_11">PedBerMedDisc!$AG$12</definedName>
    <definedName name="_Glob_MedDisc_Sterkte_12">PedBerMedDisc!$AG$13</definedName>
    <definedName name="_Glob_MedDisc_Sterkte_13">PedBerMedDisc!$AG$14</definedName>
    <definedName name="_Glob_MedDisc_Sterkte_14">PedBerMedDisc!$AG$15</definedName>
    <definedName name="_Glob_MedDisc_Sterkte_15">PedBerMedDisc!$AG$16</definedName>
    <definedName name="_Glob_MedDisc_Sterkte_16">PedBerMedDisc!$AG$17</definedName>
    <definedName name="_Glob_MedDisc_Sterkte_17">PedBerMedDisc!$AG$18</definedName>
    <definedName name="_Glob_MedDisc_Sterkte_18">PedBerMedDisc!$AG$19</definedName>
    <definedName name="_Glob_MedDisc_Sterkte_19">PedBerMedDisc!$AG$20</definedName>
    <definedName name="_Glob_MedDisc_Sterkte_20">PedBerMedDisc!$AG$21</definedName>
    <definedName name="_Glob_MedDisc_Sterkte_21">PedBerMedDisc!$AG$22</definedName>
    <definedName name="_Glob_MedDisc_Sterkte_22">PedBerMedDisc!$AG$23</definedName>
    <definedName name="_Glob_MedDisc_Sterkte_23">PedBerMedDisc!$AG$24</definedName>
    <definedName name="_Glob_MedDisc_Sterkte_24">PedBerMedDisc!$AG$25</definedName>
    <definedName name="_Glob_MedDisc_Sterkte_25">PedBerMedDisc!$AG$26</definedName>
    <definedName name="_Glob_MedDisc_Sterkte_26">PedBerMedDisc!$AG$27</definedName>
    <definedName name="_Glob_MedDisc_Sterkte_27">PedBerMedDisc!$AG$28</definedName>
    <definedName name="_Glob_MedDisc_Sterkte_28">PedBerMedDisc!$AG$29</definedName>
    <definedName name="_Glob_MedDisc_Sterkte_29">PedBerMedDisc!$AG$30</definedName>
    <definedName name="_Glob_MedDisc_Sterkte_30">PedBerMedDisc!$AG$31</definedName>
    <definedName name="_Glob_MedDisc_SterkteEenh_01">PedBerMedDisc!$AH$2</definedName>
    <definedName name="_Glob_MedDisc_SterkteEenh_02">PedBerMedDisc!$AH$3</definedName>
    <definedName name="_Glob_MedDisc_SterkteEenh_03">PedBerMedDisc!$AH$4</definedName>
    <definedName name="_Glob_MedDisc_SterkteEenh_04">PedBerMedDisc!$AH$5</definedName>
    <definedName name="_Glob_MedDisc_SterkteEenh_05">PedBerMedDisc!$AH$6</definedName>
    <definedName name="_Glob_MedDisc_SterkteEenh_06">PedBerMedDisc!$AH$7</definedName>
    <definedName name="_Glob_MedDisc_SterkteEenh_07">PedBerMedDisc!$AH$8</definedName>
    <definedName name="_Glob_MedDisc_SterkteEenh_08">PedBerMedDisc!$AH$9</definedName>
    <definedName name="_Glob_MedDisc_SterkteEenh_09">PedBerMedDisc!$AH$10</definedName>
    <definedName name="_Glob_MedDisc_SterkteEenh_10">PedBerMedDisc!$AH$11</definedName>
    <definedName name="_Glob_MedDisc_SterkteEenh_11">PedBerMedDisc!$AH$12</definedName>
    <definedName name="_Glob_MedDisc_SterkteEenh_12">PedBerMedDisc!$AH$13</definedName>
    <definedName name="_Glob_MedDisc_SterkteEenh_13">PedBerMedDisc!$AH$14</definedName>
    <definedName name="_Glob_MedDisc_SterkteEenh_14">PedBerMedDisc!$AH$15</definedName>
    <definedName name="_Glob_MedDisc_SterkteEenh_15">PedBerMedDisc!$AH$16</definedName>
    <definedName name="_Glob_MedDisc_SterkteEenh_16">PedBerMedDisc!$AH$17</definedName>
    <definedName name="_Glob_MedDisc_SterkteEenh_17">PedBerMedDisc!$AH$18</definedName>
    <definedName name="_Glob_MedDisc_SterkteEenh_18">PedBerMedDisc!$AH$19</definedName>
    <definedName name="_Glob_MedDisc_SterkteEenh_19">PedBerMedDisc!$AH$20</definedName>
    <definedName name="_Glob_MedDisc_SterkteEenh_20">PedBerMedDisc!$AH$21</definedName>
    <definedName name="_Glob_MedDisc_SterkteEenh_21">PedBerMedDisc!$AH$22</definedName>
    <definedName name="_Glob_MedDisc_SterkteEenh_22">PedBerMedDisc!$AH$23</definedName>
    <definedName name="_Glob_MedDisc_SterkteEenh_23">PedBerMedDisc!$AH$24</definedName>
    <definedName name="_Glob_MedDisc_SterkteEenh_24">PedBerMedDisc!$AH$25</definedName>
    <definedName name="_Glob_MedDisc_SterkteEenh_25">PedBerMedDisc!$AH$26</definedName>
    <definedName name="_Glob_MedDisc_SterkteEenh_26">PedBerMedDisc!$AH$27</definedName>
    <definedName name="_Glob_MedDisc_SterkteEenh_27">PedBerMedDisc!$AH$28</definedName>
    <definedName name="_Glob_MedDisc_SterkteEenh_28">PedBerMedDisc!$AH$29</definedName>
    <definedName name="_Glob_MedDisc_SterkteEenh_29">PedBerMedDisc!$AH$30</definedName>
    <definedName name="_Glob_MedDisc_SterkteEenh_30">PedBerMedDisc!$AH$31</definedName>
    <definedName name="_Glob_MedDisc_Tijden_01">PedBerMedDisc!$I$2</definedName>
    <definedName name="_Glob_MedDisc_Tijden_02">PedBerMedDisc!$I$3</definedName>
    <definedName name="_Glob_MedDisc_Tijden_03">PedBerMedDisc!$I$4</definedName>
    <definedName name="_Glob_MedDisc_Tijden_04">PedBerMedDisc!$I$5</definedName>
    <definedName name="_Glob_MedDisc_Tijden_05">PedBerMedDisc!$I$6</definedName>
    <definedName name="_Glob_MedDisc_Tijden_06">PedBerMedDisc!$I$7</definedName>
    <definedName name="_Glob_MedDisc_Tijden_07">PedBerMedDisc!$I$8</definedName>
    <definedName name="_Glob_MedDisc_Tijden_08">PedBerMedDisc!$I$9</definedName>
    <definedName name="_Glob_MedDisc_Tijden_09">PedBerMedDisc!$I$10</definedName>
    <definedName name="_Glob_MedDisc_Tijden_10">PedBerMedDisc!$I$11</definedName>
    <definedName name="_Glob_MedDisc_Tijden_11">PedBerMedDisc!$I$12</definedName>
    <definedName name="_Glob_MedDisc_Tijden_12">PedBerMedDisc!$I$13</definedName>
    <definedName name="_Glob_MedDisc_Tijden_13">PedBerMedDisc!$I$14</definedName>
    <definedName name="_Glob_MedDisc_Tijden_14">PedBerMedDisc!$I$15</definedName>
    <definedName name="_Glob_MedDisc_Tijden_15">PedBerMedDisc!$I$16</definedName>
    <definedName name="_Glob_MedDisc_Tijden_16">PedBerMedDisc!$I$17</definedName>
    <definedName name="_Glob_MedDisc_Tijden_17">PedBerMedDisc!$I$18</definedName>
    <definedName name="_Glob_MedDisc_Tijden_18">PedBerMedDisc!$I$19</definedName>
    <definedName name="_Glob_MedDisc_Tijden_19">PedBerMedDisc!$I$20</definedName>
    <definedName name="_Glob_MedDisc_Tijden_20">PedBerMedDisc!$I$21</definedName>
    <definedName name="_Glob_MedDisc_Tijden_21">PedBerMedDisc!$I$22</definedName>
    <definedName name="_Glob_MedDisc_Tijden_22">PedBerMedDisc!$I$23</definedName>
    <definedName name="_Glob_MedDisc_Tijden_23">PedBerMedDisc!$I$24</definedName>
    <definedName name="_Glob_MedDisc_Tijden_24">PedBerMedDisc!$I$25</definedName>
    <definedName name="_Glob_MedDisc_Tijden_25">PedBerMedDisc!$I$26</definedName>
    <definedName name="_Glob_MedDisc_Tijden_26">PedBerMedDisc!$I$27</definedName>
    <definedName name="_Glob_MedDisc_Tijden_27">PedBerMedDisc!$I$28</definedName>
    <definedName name="_Glob_MedDisc_Tijden_28">PedBerMedDisc!$I$29</definedName>
    <definedName name="_Glob_MedDisc_Tijden_29">PedBerMedDisc!$I$30</definedName>
    <definedName name="_Glob_MedDisc_Tijden_30">PedBerMedDisc!$I$31</definedName>
    <definedName name="_Glob_MedDisc_Toed_01">PedBerMedDisc!$L$2</definedName>
    <definedName name="_Glob_MedDisc_Toed_02">PedBerMedDisc!$L$3</definedName>
    <definedName name="_Glob_MedDisc_Toed_03">PedBerMedDisc!$L$4</definedName>
    <definedName name="_Glob_MedDisc_Toed_04">PedBerMedDisc!$L$5</definedName>
    <definedName name="_Glob_MedDisc_Toed_05">PedBerMedDisc!$L$6</definedName>
    <definedName name="_Glob_MedDisc_Toed_06">PedBerMedDisc!$L$7</definedName>
    <definedName name="_Glob_MedDisc_Toed_07">PedBerMedDisc!$L$8</definedName>
    <definedName name="_Glob_MedDisc_Toed_08">PedBerMedDisc!$L$9</definedName>
    <definedName name="_Glob_MedDisc_Toed_09">PedBerMedDisc!$L$10</definedName>
    <definedName name="_Glob_MedDisc_Toed_10">PedBerMedDisc!$L$11</definedName>
    <definedName name="_Glob_MedDisc_Toed_11">PedBerMedDisc!$L$12</definedName>
    <definedName name="_Glob_MedDisc_Toed_12">PedBerMedDisc!$L$13</definedName>
    <definedName name="_Glob_MedDisc_Toed_13">PedBerMedDisc!$L$14</definedName>
    <definedName name="_Glob_MedDisc_Toed_14">PedBerMedDisc!$L$15</definedName>
    <definedName name="_Glob_MedDisc_Toed_15">PedBerMedDisc!$L$16</definedName>
    <definedName name="_Glob_MedDisc_Toed_16">PedBerMedDisc!$L$17</definedName>
    <definedName name="_Glob_MedDisc_Toed_17">PedBerMedDisc!$L$18</definedName>
    <definedName name="_Glob_MedDisc_Toed_18">PedBerMedDisc!$L$19</definedName>
    <definedName name="_Glob_MedDisc_Toed_19">PedBerMedDisc!$L$20</definedName>
    <definedName name="_Glob_MedDisc_Toed_20">PedBerMedDisc!$L$21</definedName>
    <definedName name="_Glob_MedDisc_Toed_21">PedBerMedDisc!$L$22</definedName>
    <definedName name="_Glob_MedDisc_Toed_22">PedBerMedDisc!$L$23</definedName>
    <definedName name="_Glob_MedDisc_Toed_23">PedBerMedDisc!$L$24</definedName>
    <definedName name="_Glob_MedDisc_Toed_24">PedBerMedDisc!$L$25</definedName>
    <definedName name="_Glob_MedDisc_Toed_25">PedBerMedDisc!$L$26</definedName>
    <definedName name="_Glob_MedDisc_Toed_26">PedBerMedDisc!$L$27</definedName>
    <definedName name="_Glob_MedDisc_Toed_27">PedBerMedDisc!$L$28</definedName>
    <definedName name="_Glob_MedDisc_Toed_28">PedBerMedDisc!$L$29</definedName>
    <definedName name="_Glob_MedDisc_Toed_29">PedBerMedDisc!$L$30</definedName>
    <definedName name="_Glob_MedDisc_Toed_30">PedBerMedDisc!$L$31</definedName>
    <definedName name="_Neo_1700_ArtLijn">NeoBer1700!$B$18</definedName>
    <definedName name="_Neo_1700_Arts">NeoBer1700!$F$1</definedName>
    <definedName name="_Neo_1700_CaCl2">NeoBer1700!$D$39</definedName>
    <definedName name="_Neo_1700_DagKeuze">NeoBer1700!$D$36</definedName>
    <definedName name="_Neo_1700_Fototherapie">NeoBer1700!$B$15</definedName>
    <definedName name="_Neo_1700_Frequentie_1">NeoBer1700!$D$10</definedName>
    <definedName name="_Neo_1700_Frequentie_2">NeoBer1700!$D$12</definedName>
    <definedName name="_Neo_1700_GlucSterkte">NeoBer1700!$D$45</definedName>
    <definedName name="_Neo_1700_Hoeveelheid_1">NeoBer1700!$D$11</definedName>
    <definedName name="_Neo_1700_Hoeveelheid_2">NeoBer1700!$D$13</definedName>
    <definedName name="_Neo_1700_IntakePerKg">NeoBer1700!$D$16</definedName>
    <definedName name="_Neo_1700_IntraLipid">NeoBer1700!$D$35</definedName>
    <definedName name="_Neo_1700_IntralipidSmof">NeoBer1700!$F$35</definedName>
    <definedName name="_Neo_1700_KCl">NeoBer1700!$D$38</definedName>
    <definedName name="_Neo_1700_Medicament_1">NeoBer1700!$B$20</definedName>
    <definedName name="_Neo_1700_Medicament_2">NeoBer1700!$B$21</definedName>
    <definedName name="_Neo_1700_Medicament_3">NeoBer1700!$B$22</definedName>
    <definedName name="_Neo_1700_Medicament_4">NeoBer1700!$B$23</definedName>
    <definedName name="_Neo_1700_Medicament_5">NeoBer1700!$B$24</definedName>
    <definedName name="_Neo_1700_Medicament_6">NeoBer1700!$B$25</definedName>
    <definedName name="_Neo_1700_Medicament_7">NeoBer1700!$B$26</definedName>
    <definedName name="_Neo_1700_Medicament_8">NeoBer1700!$B$27</definedName>
    <definedName name="_Neo_1700_Medicament_9">NeoBer1700!$B$28</definedName>
    <definedName name="_Neo_1700_MedSterkte_1">NeoBer1700!$C$20</definedName>
    <definedName name="_Neo_1700_MedSterkte_2">NeoBer1700!$C$21</definedName>
    <definedName name="_Neo_1700_MedSterkte_3">NeoBer1700!$C$22</definedName>
    <definedName name="_Neo_1700_MedSterkte_4">NeoBer1700!$C$23</definedName>
    <definedName name="_Neo_1700_MedSterkte_5">NeoBer1700!$C$24</definedName>
    <definedName name="_Neo_1700_MedSterkte_6">NeoBer1700!$C$25</definedName>
    <definedName name="_Neo_1700_MedSterkte_7">NeoBer1700!$C$26</definedName>
    <definedName name="_Neo_1700_MedSterkte_8">NeoBer1700!$C$27</definedName>
    <definedName name="_Neo_1700_MedSterkte_9">NeoBer1700!$C$28</definedName>
    <definedName name="_Neo_1700_MedTekst_1">NeoBer1700!$B$32</definedName>
    <definedName name="_Neo_1700_MedTekst_2">NeoBer1700!$B$33</definedName>
    <definedName name="_Neo_1700_MgCl2">NeoBer1700!$D$40</definedName>
    <definedName name="_Neo_1700_NaCl">NeoBer1700!$D$37</definedName>
    <definedName name="_Neo_1700_NICUMix">NeoBer1700!$D$43</definedName>
    <definedName name="_Neo_1700_OplHoev_1">NeoBer1700!$D$20</definedName>
    <definedName name="_Neo_1700_OplHoev_2">NeoBer1700!$D$21</definedName>
    <definedName name="_Neo_1700_OplHoev_3">NeoBer1700!$D$22</definedName>
    <definedName name="_Neo_1700_OplHoev_4">NeoBer1700!$D$23</definedName>
    <definedName name="_Neo_1700_OplHoev_5">NeoBer1700!$D$24</definedName>
    <definedName name="_Neo_1700_OplHoev_6">NeoBer1700!$D$25</definedName>
    <definedName name="_Neo_1700_OplHoev_7">NeoBer1700!$D$26</definedName>
    <definedName name="_Neo_1700_OplHoev_8">NeoBer1700!$D$27</definedName>
    <definedName name="_Neo_1700_OplHoev_9">NeoBer1700!$D$28</definedName>
    <definedName name="_Neo_1700_Oplossing_01">NeoBer1700!$E$20</definedName>
    <definedName name="_Neo_1700_Oplossing_02">NeoBer1700!$E$21</definedName>
    <definedName name="_Neo_1700_Oplossing_03">NeoBer1700!$E$22</definedName>
    <definedName name="_Neo_1700_Oplossing_04">NeoBer1700!$E$23</definedName>
    <definedName name="_Neo_1700_Oplossing_05">NeoBer1700!$E$24</definedName>
    <definedName name="_Neo_1700_Oplossing_06">NeoBer1700!$E$25</definedName>
    <definedName name="_Neo_1700_Oplossing_07">NeoBer1700!$E$26</definedName>
    <definedName name="_Neo_1700_Oplossing_08">NeoBer1700!$E$27</definedName>
    <definedName name="_Neo_1700_Oplossing_09">NeoBer1700!$E$28</definedName>
    <definedName name="_Neo_1700_Oplossing_10">NeoBer1700!$E$29</definedName>
    <definedName name="_Neo_1700_Oplossing_11">NeoBer1700!$E$30</definedName>
    <definedName name="_Neo_1700_Oplossing_12">NeoBer1700!$E$31</definedName>
    <definedName name="_Neo_1700_Parenteraal">NeoBer1700!$B$17</definedName>
    <definedName name="_Neo_1700_PercentageKeuze_0">NeoBer1700!$J$52</definedName>
    <definedName name="_Neo_1700_PercentageKeuze_1">NeoBer1700!$J$53</definedName>
    <definedName name="_Neo_1700_PercentageKeuze_2">NeoBer1700!$J$54</definedName>
    <definedName name="_Neo_1700_PercentageKeuze_3">NeoBer1700!$J$55</definedName>
    <definedName name="_Neo_1700_PercentageKeuze_4">NeoBer1700!$J$56</definedName>
    <definedName name="_Neo_1700_PercentageKeuze_5">NeoBer1700!$J$58</definedName>
    <definedName name="_Neo_1700_PercentageKeuze_6">NeoBer1700!$J$59</definedName>
    <definedName name="_Neo_1700_PercentageKeuze_7">NeoBer1700!$J$60</definedName>
    <definedName name="_Neo_1700_PercentageKeuze_8">NeoBer1700!$J$61</definedName>
    <definedName name="_Neo_1700_Primene">NeoBer1700!$D$42</definedName>
    <definedName name="_Neo_1700_SoluVit">NeoBer1700!$D$41</definedName>
    <definedName name="_Neo_1700_SSTB">NeoBer1700!$D$44</definedName>
    <definedName name="_Neo_1700_Stand_01">NeoBer1700!$F$20</definedName>
    <definedName name="_Neo_1700_Stand_02">NeoBer1700!$F$21</definedName>
    <definedName name="_Neo_1700_Stand_03">NeoBer1700!$F$22</definedName>
    <definedName name="_Neo_1700_Stand_04">NeoBer1700!$F$23</definedName>
    <definedName name="_Neo_1700_Stand_05">NeoBer1700!$F$24</definedName>
    <definedName name="_Neo_1700_Stand_06">NeoBer1700!$F$25</definedName>
    <definedName name="_Neo_1700_Stand_07">NeoBer1700!$F$26</definedName>
    <definedName name="_Neo_1700_Stand_08">NeoBer1700!$F$27</definedName>
    <definedName name="_Neo_1700_Stand_09">NeoBer1700!$F$28</definedName>
    <definedName name="_Neo_1700_Stand_10">NeoBer1700!$F$29</definedName>
    <definedName name="_Neo_1700_Stand_11">NeoBer1700!$F$30</definedName>
    <definedName name="_Neo_1700_Stand_12">NeoBer1700!$F$31</definedName>
    <definedName name="_Neo_1700_Supervisor">NeoBer1700!$A$63</definedName>
    <definedName name="_Neo_1700_Toevoeging_0">NeoBer1700!$B$52</definedName>
    <definedName name="_Neo_1700_Toevoeging_1">NeoBer1700!$B$53</definedName>
    <definedName name="_Neo_1700_Toevoeging_2">NeoBer1700!$B$54</definedName>
    <definedName name="_Neo_1700_Toevoeging_3">NeoBer1700!$B$55</definedName>
    <definedName name="_Neo_1700_Toevoeging_4">NeoBer1700!$B$56</definedName>
    <definedName name="_Neo_1700_Toevoeging_5">NeoBer1700!$B$58</definedName>
    <definedName name="_Neo_1700_Toevoeging_6">NeoBer1700!$B$59</definedName>
    <definedName name="_Neo_1700_Toevoeging_7">NeoBer1700!$B$60</definedName>
    <definedName name="_Neo_1700_Toevoeging_8">NeoBer1700!$B$61</definedName>
    <definedName name="_Neo_1700_VochtExtra_01">NeoBer1700!$J$14</definedName>
    <definedName name="_Neo_1700_VochtExtra_02">NeoBer1700!$J$20</definedName>
    <definedName name="_Neo_1700_VochtExtra_03">NeoBer1700!$J$21</definedName>
    <definedName name="_Neo_1700_VochtExtra_04">NeoBer1700!$J$22</definedName>
    <definedName name="_Neo_1700_VochtExtra_05">NeoBer1700!$J$23</definedName>
    <definedName name="_Neo_1700_VochtExtra_06">NeoBer1700!$J$24</definedName>
    <definedName name="_Neo_1700_VochtExtra_07">NeoBer1700!$J$25</definedName>
    <definedName name="_Neo_1700_VochtExtra_08">NeoBer1700!$J$26</definedName>
    <definedName name="_Neo_1700_VochtExtra_09">NeoBer1700!$J$27</definedName>
    <definedName name="_Neo_1700_VochtExtra_10">NeoBer1700!$J$28</definedName>
    <definedName name="_Neo_1700_VochtExtra_11">NeoBer1700!$J$18</definedName>
    <definedName name="_Neo_1700_VochtExtra_12">NeoBer1700!$J$29</definedName>
    <definedName name="_Neo_1700_VochtExtra_13">NeoBer1700!$J$30</definedName>
    <definedName name="_Neo_1700_VochtExtra_14">NeoBer1700!$J$31</definedName>
    <definedName name="_Neo_1700_Voeding">NeoBer1700!$D$14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ArtLijn">NeoBerIV!$B$18</definedName>
    <definedName name="_Neo_InfB_Arts">NeoBerIV!$F$1</definedName>
    <definedName name="_Neo_InfB_DagKeuze">NeoBerIV!$D$36</definedName>
    <definedName name="_Neo_InfB_Fototherapie">NeoBerIV!$B$15</definedName>
    <definedName name="_Neo_InfB_Frequentie_1">NeoBerIV!$D$10</definedName>
    <definedName name="_Neo_InfB_Frequentie_2">NeoBerIV!$D$12</definedName>
    <definedName name="_Neo_InfB_GlucSterkte">NeoBerIV!$D$45</definedName>
    <definedName name="_Neo_InfB_Hoeveelheid_1">NeoBerIV!$D$11</definedName>
    <definedName name="_Neo_InfB_Hoeveelheid_2">NeoBerIV!$D$13</definedName>
    <definedName name="_Neo_InfB_IntakePerKg">NeoBerIV!$D$16</definedName>
    <definedName name="_Neo_InfB_IntraLipid">NeoBerIV!$D$35</definedName>
    <definedName name="_Neo_InfB_IntralipidSmof">NeoBerIV!$F$35</definedName>
    <definedName name="_Neo_InfB_KCl">NeoBerIV!$D$38</definedName>
    <definedName name="_Neo_InfB_Medicament_1">NeoBerIV!$B$20</definedName>
    <definedName name="_Neo_InfB_Medicament_2">NeoBerIV!$B$21</definedName>
    <definedName name="_Neo_InfB_Medicament_3">NeoBerIV!$B$22</definedName>
    <definedName name="_Neo_InfB_Medicament_4">NeoBerIV!$B$23</definedName>
    <definedName name="_Neo_InfB_Medicament_5">NeoBerIV!$B$24</definedName>
    <definedName name="_Neo_InfB_Medicament_6">NeoBerIV!$B$25</definedName>
    <definedName name="_Neo_InfB_Medicament_7">NeoBerIV!$B$26</definedName>
    <definedName name="_Neo_InfB_Medicament_8">NeoBerIV!$B$27</definedName>
    <definedName name="_Neo_InfB_Medicament_9">NeoBerIV!$B$28</definedName>
    <definedName name="_Neo_InfB_MedSterkte_1">NeoBerIV!$C$20</definedName>
    <definedName name="_Neo_InfB_MedSterkte_2">NeoBerIV!$C$21</definedName>
    <definedName name="_Neo_InfB_MedSterkte_3">NeoBerIV!$C$22</definedName>
    <definedName name="_Neo_InfB_MedSterkte_4">NeoBerIV!$C$23</definedName>
    <definedName name="_Neo_InfB_MedSterkte_5">NeoBerIV!$C$24</definedName>
    <definedName name="_Neo_InfB_MedSterkte_6">NeoBerIV!$C$25</definedName>
    <definedName name="_Neo_InfB_MedSterkte_7">NeoBerIV!$C$26</definedName>
    <definedName name="_Neo_InfB_MedSterkte_8">NeoBerIV!$C$27</definedName>
    <definedName name="_Neo_InfB_MedSterkte_9">NeoBerIV!$C$28</definedName>
    <definedName name="_Neo_InfB_MedTekst_1">NeoBerIV!$B$32</definedName>
    <definedName name="_Neo_InfB_MedTekst_2">NeoBerIV!$B$33</definedName>
    <definedName name="_Neo_InfB_MgCl2">NeoBerIV!$D$40</definedName>
    <definedName name="_Neo_InfB_NICUMix">NeoBerIV!$D$43</definedName>
    <definedName name="_Neo_InfB_OplHoev_1">NeoBerIV!$D$20</definedName>
    <definedName name="_Neo_InfB_OplHoev_2">NeoBerIV!$D$21</definedName>
    <definedName name="_Neo_InfB_OplHoev_3">NeoBerIV!$D$22</definedName>
    <definedName name="_Neo_InfB_OplHoev_4">NeoBerIV!$D$23</definedName>
    <definedName name="_Neo_InfB_OplHoev_5">NeoBerIV!$D$24</definedName>
    <definedName name="_Neo_InfB_OplHoev_6">NeoBerIV!$D$25</definedName>
    <definedName name="_Neo_InfB_OplHoev_7">NeoBerIV!$D$26</definedName>
    <definedName name="_Neo_InfB_OplHoev_8">NeoBerIV!$D$27</definedName>
    <definedName name="_Neo_InfB_OplHoev_9">NeoBerIV!$D$28</definedName>
    <definedName name="_Neo_InfB_Oplossing_01">NeoBerIV!$E$20</definedName>
    <definedName name="_Neo_InfB_Oplossing_02">NeoBerIV!$E$21</definedName>
    <definedName name="_Neo_InfB_Oplossing_03">NeoBerIV!$E$22</definedName>
    <definedName name="_Neo_InfB_Oplossing_04">NeoBerIV!$E$23</definedName>
    <definedName name="_Neo_InfB_Oplossing_05">NeoBerIV!$E$24</definedName>
    <definedName name="_Neo_InfB_Oplossing_06">NeoBerIV!$E$25</definedName>
    <definedName name="_Neo_InfB_Oplossing_07">NeoBerIV!$E$26</definedName>
    <definedName name="_Neo_InfB_Oplossing_08">NeoBerIV!$E$27</definedName>
    <definedName name="_Neo_InfB_Oplossing_09">NeoBerIV!$E$28</definedName>
    <definedName name="_Neo_InfB_Oplossing_10">NeoBerIV!$E$29</definedName>
    <definedName name="_Neo_InfB_Oplossing_11">NeoBerIV!$E$30</definedName>
    <definedName name="_Neo_InfB_Oplossing_12">NeoBerIV!$E$31</definedName>
    <definedName name="_Neo_InfB_Parenteraal">NeoBerIV!$B$17</definedName>
    <definedName name="_Neo_InfB_PercentageKeuze_0">NeoBerIV!$J$52</definedName>
    <definedName name="_Neo_InfB_PercentageKeuze_1">NeoBerIV!$J$53</definedName>
    <definedName name="_Neo_InfB_PercentageKeuze_2">NeoBerIV!$J$54</definedName>
    <definedName name="_Neo_InfB_PercentageKeuze_3">NeoBerIV!$J$55</definedName>
    <definedName name="_Neo_InfB_PercentageKeuze_4">NeoBerIV!$J$56</definedName>
    <definedName name="_Neo_InfB_PercentageKeuze_5">NeoBerIV!$J$58</definedName>
    <definedName name="_Neo_InfB_PercentageKeuze_6">NeoBerIV!$J$59</definedName>
    <definedName name="_Neo_InfB_PercentageKeuze_7">NeoBerIV!$J$60</definedName>
    <definedName name="_Neo_InfB_PercentageKeuze_8">NeoBerIV!$J$61</definedName>
    <definedName name="_Neo_InfB_Primene">NeoBerIV!$D$42</definedName>
    <definedName name="_Neo_InfB_SoluVit">NeoBerIV!$D$41</definedName>
    <definedName name="_Neo_InfB_SSTB">NeoBerIV!$D$44</definedName>
    <definedName name="_Neo_InfB_Stand_01">NeoBerIV!$F$20</definedName>
    <definedName name="_Neo_InfB_Stand_02">NeoBerIV!$F$21</definedName>
    <definedName name="_Neo_InfB_Stand_03">NeoBerIV!$F$22</definedName>
    <definedName name="_Neo_InfB_Stand_04">NeoBerIV!$F$23</definedName>
    <definedName name="_Neo_InfB_Stand_05">NeoBerIV!$F$24</definedName>
    <definedName name="_Neo_InfB_Stand_06">NeoBerIV!$F$25</definedName>
    <definedName name="_Neo_InfB_Stand_07">NeoBerIV!$F$26</definedName>
    <definedName name="_Neo_InfB_Stand_08">NeoBerIV!$F$27</definedName>
    <definedName name="_Neo_InfB_Stand_09">NeoBerIV!$F$28</definedName>
    <definedName name="_Neo_InfB_Stand_10">NeoBerIV!$F$29</definedName>
    <definedName name="_Neo_InfB_Stand_11">NeoBerIV!$F$30</definedName>
    <definedName name="_Neo_InfB_Stand_12">NeoBerIV!$F$31</definedName>
    <definedName name="_Neo_InfB_Sterkte_1">NeoBerIV!$C$20</definedName>
    <definedName name="_Neo_InfB_Sterkte_2">NeoBerIV!$C$21</definedName>
    <definedName name="_Neo_InfB_Sterkte_3">NeoBerIV!$C$22</definedName>
    <definedName name="_Neo_InfB_Sterkte_4">NeoBerIV!$C$23</definedName>
    <definedName name="_Neo_InfB_Sterkte_5">NeoBerIV!$C$24</definedName>
    <definedName name="_Neo_InfB_Sterkte_6">NeoBerIV!$C$25</definedName>
    <definedName name="_Neo_InfB_Sterkte_7">NeoBerIV!$C$26</definedName>
    <definedName name="_Neo_InfB_Sterkte_8">NeoBerIV!$C$27</definedName>
    <definedName name="_Neo_InfB_Sterkte_9">NeoBerIV!$C$28</definedName>
    <definedName name="_Neo_InfB_Supervisor">NeoBerIV!$A$63</definedName>
    <definedName name="_Neo_InfB_Toevoeging_0">NeoBerIV!$B$52</definedName>
    <definedName name="_Neo_InfB_Toevoeging_1">NeoBerIV!$B$53</definedName>
    <definedName name="_Neo_InfB_Toevoeging_2">NeoBerIV!$B$54</definedName>
    <definedName name="_Neo_InfB_Toevoeging_3">NeoBerIV!$B$55</definedName>
    <definedName name="_Neo_InfB_Toevoeging_4">NeoBerIV!$B$56</definedName>
    <definedName name="_Neo_InfB_Toevoeging_5">NeoBerIV!$B$58</definedName>
    <definedName name="_Neo_InfB_Toevoeging_6">NeoBerIV!$B$59</definedName>
    <definedName name="_Neo_InfB_Toevoeging_7">NeoBerIV!$B$60</definedName>
    <definedName name="_Neo_InfB_Toevoeging_8">NeoBerIV!$B$61</definedName>
    <definedName name="_Neo_InfB_TPNCaCl2">NeoBerIV!$D$39</definedName>
    <definedName name="_Neo_InfB_TPNNacl">NeoBerIV!$D$37</definedName>
    <definedName name="_Neo_InfB_VochtExtra_01">NeoBerIV!$J$14</definedName>
    <definedName name="_Neo_InfB_VochtExtra_02">NeoBerIV!$J$20</definedName>
    <definedName name="_Neo_InfB_VochtExtra_03">NeoBerIV!$J$21</definedName>
    <definedName name="_Neo_InfB_VochtExtra_04">NeoBerIV!$J$22</definedName>
    <definedName name="_Neo_InfB_VochtExtra_05">NeoBerIV!$J$23</definedName>
    <definedName name="_Neo_InfB_VochtExtra_06">NeoBerIV!$J$24</definedName>
    <definedName name="_Neo_InfB_VochtExtra_07">NeoBerIV!$J$25</definedName>
    <definedName name="_Neo_InfB_VochtExtra_08">NeoBerIV!$J$26</definedName>
    <definedName name="_Neo_InfB_VochtExtra_09">NeoBerIV!$J$27</definedName>
    <definedName name="_Neo_InfB_VochtExtra_10">NeoBerIV!$J$28</definedName>
    <definedName name="_Neo_InfB_VochtExtra_11">NeoBerIV!$J$18</definedName>
    <definedName name="_Neo_InfB_VochtExtra_12">NeoBerIV!$J$29</definedName>
    <definedName name="_Neo_InfB_VochtExtra_13">NeoBerIV!$J$30</definedName>
    <definedName name="_Neo_InfB_VochtExtra_14">NeoBerIV!$J$31</definedName>
    <definedName name="_Neo_InfB_Voeding">NeoBerIV!$D$14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Dagen">NeoBerIV!$D$5</definedName>
    <definedName name="_Pat_Gewicht">PatDetails!$G$2</definedName>
    <definedName name="_Pat_Lengte">PatDetails!$H$2</definedName>
    <definedName name="_Pat_OpnDatum">PatDetails!$C$2</definedName>
    <definedName name="_Pat_Weken">NeoBerIV!$D$4</definedName>
    <definedName name="_Ped_AfsprB_ArmLinks">PedBerExtraAfspr!$D$11</definedName>
    <definedName name="_Ped_AfsprB_ArmRechts">PedBerExtraAfspr!$D$12</definedName>
    <definedName name="_Ped_AfsprB_BeenLinks">PedBerExtraAfspr!$D$13</definedName>
    <definedName name="_Ped_AfsprB_BeenRechts">PedBerExtraAfspr!$D$14</definedName>
    <definedName name="_Ped_AfsprB_Buik">PedBerExtraAfspr!$B$10</definedName>
    <definedName name="_Ped_AfsprB_Catheter">PedBerExtraAfspr!$F$7</definedName>
    <definedName name="_Ped_AfsprB_CFM">PedBerExtraAfspr!$B$20</definedName>
    <definedName name="_Ped_AfsprB_Duodenumsonde">PedBerExtraAfspr!$F$10</definedName>
    <definedName name="_Ped_AfsprB_ECG">PedBerExtraAfspr!$B$21</definedName>
    <definedName name="_Ped_AfsprB_Gastrostoma">PedBerExtraAfspr!$F$12</definedName>
    <definedName name="_Ped_AfsprB_GCS">PedBerExtraAfspr!$B$42</definedName>
    <definedName name="_Ped_AfsprB_Gewicht">PedBerExtraAfspr!$B$7</definedName>
    <definedName name="_Ped_AfsprB_HardeKraag">PedBerExtraAfspr!$F$15</definedName>
    <definedName name="_Ped_AfsprB_Headblocks">PedBerExtraAfspr!$F$13</definedName>
    <definedName name="_Ped_AfsprB_ICP">PedBerExtraAfspr!$B$24</definedName>
    <definedName name="_Ped_AfsprB_Lengte">PedBerExtraAfspr!$B$8</definedName>
    <definedName name="_Ped_AfsprB_Liquor">PedBerExtraAfspr!$B$39</definedName>
    <definedName name="_Ped_AfsprB_Maagretentie">PedBerExtraAfspr!$F$16</definedName>
    <definedName name="_Ped_AfsprB_Maagsonde">PedBerExtraAfspr!$F$9</definedName>
    <definedName name="_Ped_AfsprB_NIBD">PedBerExtraAfspr!$B$11</definedName>
    <definedName name="_Ped_AfsprB_NIBDAlle">PedBerExtraAfspr!$B$15</definedName>
    <definedName name="_Ped_AfsprB_NIRS1">PedBerExtraAfspr!$B$22</definedName>
    <definedName name="_Ped_AfsprB_NIRS2">PedBerExtraAfspr!$B$23</definedName>
    <definedName name="_Ped_AfsprB_PEG">PedBerExtraAfspr!$F$11</definedName>
    <definedName name="_Ped_AfsprB_Peritoneaal">PedBerExtraAfspr!$B$36</definedName>
    <definedName name="_Ped_AfsprB_PeritoneaalVacuum">PedBerExtraAfspr!$D$36</definedName>
    <definedName name="_Ped_AfsprB_Pigtail">PedBerExtraAfspr!$B$37</definedName>
    <definedName name="_Ped_AfsprB_PigtailVacuum">PedBerExtraAfspr!$D$37</definedName>
    <definedName name="_Ped_AfsprB_Pupil">PedBerExtraAfspr!$B$43</definedName>
    <definedName name="_Ped_AfsprB_Redon">PedBerExtraAfspr!$B$38</definedName>
    <definedName name="_Ped_AfsprB_RedonVacuum">PedBerExtraAfspr!$D$38</definedName>
    <definedName name="_Ped_AfsprB_SaturatiePost">PedBerExtraAfspr!$B$16</definedName>
    <definedName name="_Ped_AfsprB_SaturatiePre">PedBerExtraAfspr!$B$17</definedName>
    <definedName name="_Ped_AfsprB_Schedel">PedBerExtraAfspr!$B$9</definedName>
    <definedName name="_Ped_AfsprB_Sedatie">PedBerExtraAfspr!$B$44</definedName>
    <definedName name="_Ped_AfsprB_Thorax1">PedBerExtraAfspr!$B$27</definedName>
    <definedName name="_Ped_AfsprB_Thorax2">PedBerExtraAfspr!$B$30</definedName>
    <definedName name="_Ped_AfsprB_Thorax3">PedBerExtraAfspr!$B$33</definedName>
    <definedName name="_Ped_AfsprB_TOSCA">PedBerExtraAfspr!$B$25</definedName>
    <definedName name="_Ped_AfsprB_Urostoma">PedBerExtraAfspr!$F$8</definedName>
    <definedName name="_Ped_AfsprB_Verliezen">PedBerExtraAfspr!$F$18</definedName>
    <definedName name="_Ped_AfsprB_ZachteKraag">PedBerExtraAfspr!$F$14</definedName>
    <definedName name="_Ped_AfsprD_GCSdd">PedBerExtraAfspr!$C$42</definedName>
    <definedName name="_Ped_AfsprD_GewichtFrequentie">PedBerExtraAfspr!$C$7</definedName>
    <definedName name="_Ped_AfsprD_GewichtPer">PedBerExtraAfspr!$D$7</definedName>
    <definedName name="_Ped_AfsprD_LengteFrequentie">PedBerExtraAfspr!$C$8</definedName>
    <definedName name="_Ped_AfsprD_LengtePer">PedBerExtraAfspr!$D$8</definedName>
    <definedName name="_Ped_AfsprD_LiquorHoogte">PedBerExtraAfspr!$D$40</definedName>
    <definedName name="_Ped_AfsprD_LiquorSub">PedBerExtraAfspr!$D$39</definedName>
    <definedName name="_Ped_AfsprD_MaagretentieUur">PedBerExtraAfspr!$G$16</definedName>
    <definedName name="_Ped_AfsprD_NIBDdd">PedBerExtraAfspr!$B$12</definedName>
    <definedName name="_Ped_AfsprD_Overig">PedBerExtraAfspr!$F$17</definedName>
    <definedName name="_Ped_AfsprD_SchedelFrequentie">PedBerExtraAfspr!$C$9</definedName>
    <definedName name="_Ped_AfsprD_SchedelPer">PedBerExtraAfspr!$D$9</definedName>
    <definedName name="_Ped_AfsprD_Thorax1Sub1">PedBerExtraAfspr!$D$29</definedName>
    <definedName name="_Ped_AfsprD_Thorax1Sub2">PedBerExtraAfspr!$D$27</definedName>
    <definedName name="_Ped_AfsprD_Thorax1Sub3">PedBerExtraAfspr!$D$28</definedName>
    <definedName name="_Ped_AfsprD_Thorax2Sub1">PedBerExtraAfspr!$D$32</definedName>
    <definedName name="_Ped_AfsprD_Thorax2Sub2">PedBerExtraAfspr!$D$30</definedName>
    <definedName name="_Ped_AfsprD_Thorax2Sub3">PedBerExtraAfspr!$D$31</definedName>
    <definedName name="_Ped_AfsprD_Thorax3Sub1">PedBerExtraAfspr!$D$35</definedName>
    <definedName name="_Ped_AfsprD_Thorax3Sub2">PedBerExtraAfspr!$D$33</definedName>
    <definedName name="_Ped_AfsprD_Thorax3Sub3">PedBerExtraAfspr!$D$34</definedName>
    <definedName name="_Ped_AfsprD_Verliezen">PedBerExtraAfspr!$H$18</definedName>
    <definedName name="_Ped_AfsprD_VerliezenStof">PedBerExtraAfspr!$H$18</definedName>
    <definedName name="_Ped_AfsprD_VerliezenUur">PedBerExtraAfspr!$G$18</definedName>
    <definedName name="_Ped_AfsprOverig">PedBerExtraAfspr!$F$17</definedName>
    <definedName name="_Ped_Ent_Freq_1">PedBerEnt!$J$2</definedName>
    <definedName name="_Ped_Ent_Freq_2">PedBerEnt!$J$3</definedName>
    <definedName name="_Ped_Ent_Freq_3">PedBerEnt!$J$4</definedName>
    <definedName name="_Ped_Ent_Freq_4">PedBerEnt!$J$5</definedName>
    <definedName name="_Ped_Ent_Keuze_1">PedBerEnt!$N$2</definedName>
    <definedName name="_Ped_Ent_Keuze_2">PedBerEnt!$N$3</definedName>
    <definedName name="_Ped_Ent_Keuze_3">PedBerEnt!$N$4</definedName>
    <definedName name="_Ped_Ent_Keuze_4">PedBerEnt!$N$5</definedName>
    <definedName name="_Ped_Ent_Opm">GlobBerOpm!$C$6</definedName>
    <definedName name="_Ped_Ent_Sonde">PedBerEnt!$O$2</definedName>
    <definedName name="_Ped_Ent_Speciale_01">PedBerEnt!$H$2</definedName>
    <definedName name="_Ped_Ent_Speciale_02">PedBerEnt!$H$3</definedName>
    <definedName name="_Ped_Ent_Speciale_03">PedBerEnt!$H$4</definedName>
    <definedName name="_Ped_Ent_Speciale_04">PedBerEnt!$H$5</definedName>
    <definedName name="_Ped_Ent_Speciale_05">PedBerEnt!$H$6</definedName>
    <definedName name="_Ped_Ent_Speciale_06">PedBerEnt!$H$7</definedName>
    <definedName name="_Ped_Ent_Speciale_07">PedBerEnt!$H$8</definedName>
    <definedName name="_Ped_Ent_Speciale_08">PedBerEnt!$H$9</definedName>
    <definedName name="_Ped_Ent_Speciale_09">PedBerEnt!$H$10</definedName>
    <definedName name="_Ped_Ent_Speciale_10">PedBerEnt!$H$11</definedName>
    <definedName name="_Ped_Ent_Speciale_11">PedBerEnt!$H$12</definedName>
    <definedName name="_Ped_Ent_Speciale_12">PedBerEnt!$H$13</definedName>
    <definedName name="_Ped_Ent_Vol_1">PedBerEnt!$K$2</definedName>
    <definedName name="_Ped_Ent_Vol_2">PedBerEnt!$K$3</definedName>
    <definedName name="_Ped_Ent_Vol_3">PedBerEnt!$K$4</definedName>
    <definedName name="_Ped_Ent_Vol_4">PedBerEnt!$K$5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_Opm">GlobBerOpm!$C$2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GlobBerOpm!$C$5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MedIV_Keuze_01">PedBerMedIV!$B$3</definedName>
    <definedName name="_Ped_MedIV_Keuze_02">PedBerMedIV!$B$4</definedName>
    <definedName name="_Ped_MedIV_Keuze_03">PedBerMedIV!$B$5</definedName>
    <definedName name="_Ped_MedIV_Keuze_04">PedBerMedIV!$B$6</definedName>
    <definedName name="_Ped_MedIV_Keuze_05">PedBerMedIV!$B$7</definedName>
    <definedName name="_Ped_MedIV_Keuze_06">PedBerMedIV!$B$8</definedName>
    <definedName name="_Ped_MedIV_Keuze_07">PedBerMedIV!$B$9</definedName>
    <definedName name="_Ped_MedIV_Keuze_08">PedBerMedIV!$B$10</definedName>
    <definedName name="_Ped_MedIV_Keuze_09">PedBerMedIV!$B$11</definedName>
    <definedName name="_Ped_MedIV_Keuze_10">PedBerMedIV!$B$12</definedName>
    <definedName name="_Ped_MedIV_Keuze_11">PedBerMedIV!$B$13</definedName>
    <definedName name="_Ped_MedIV_Keuze_12">PedBerMedIV!$B$14</definedName>
    <definedName name="_Ped_MedIV_Keuze_13">PedBerMedIV!$B$15</definedName>
    <definedName name="_Ped_MedIV_Keuze_14">PedBerMedIV!$B$16</definedName>
    <definedName name="_Ped_MedIV_Keuze_15">PedBerMedIV!$B$17</definedName>
    <definedName name="_Ped_MedIV_OplVlst_01">PedBerMedIV!$I$3</definedName>
    <definedName name="_Ped_MedIV_OplVlst_02">PedBerMedIV!$I$4</definedName>
    <definedName name="_Ped_MedIV_OplVlst_03">PedBerMedIV!$I$5</definedName>
    <definedName name="_Ped_MedIV_OplVlst_04">PedBerMedIV!$I$6</definedName>
    <definedName name="_Ped_MedIV_OplVlst_05">PedBerMedIV!$I$7</definedName>
    <definedName name="_Ped_MedIV_OplVlst_06">PedBerMedIV!$I$8</definedName>
    <definedName name="_Ped_MedIV_OplVlst_07">PedBerMedIV!$I$9</definedName>
    <definedName name="_Ped_MedIV_OplVlst_08">PedBerMedIV!$I$10</definedName>
    <definedName name="_Ped_MedIV_OplVlst_09">PedBerMedIV!$I$11</definedName>
    <definedName name="_Ped_MedIV_OplVlst_10">PedBerMedIV!$I$12</definedName>
    <definedName name="_Ped_MedIV_OplVlst_11">PedBerMedIV!$I$13</definedName>
    <definedName name="_Ped_MedIV_OplVlst_12">PedBerMedIV!$I$14</definedName>
    <definedName name="_Ped_MedIV_OplVlst_13">PedBerMedIV!$I$15</definedName>
    <definedName name="_Ped_MedIV_OplVlst_14">PedBerMedIV!$I$16</definedName>
    <definedName name="_Ped_MedIV_OplVlst_15">PedBerMedIV!$I$17</definedName>
    <definedName name="_Ped_MedIV_OplVol_01">PedBerMedIV!$E$3</definedName>
    <definedName name="_Ped_MedIV_OplVol_02">PedBerMedIV!$E$4</definedName>
    <definedName name="_Ped_MedIV_OplVol_03">PedBerMedIV!$E$5</definedName>
    <definedName name="_Ped_MedIV_OplVol_04">PedBerMedIV!$E$6</definedName>
    <definedName name="_Ped_MedIV_OplVol_05">PedBerMedIV!$E$7</definedName>
    <definedName name="_Ped_MedIV_OplVol_06">PedBerMedIV!$E$8</definedName>
    <definedName name="_Ped_MedIV_OplVol_07">PedBerMedIV!$E$9</definedName>
    <definedName name="_Ped_MedIV_OplVol_08">PedBerMedIV!$E$10</definedName>
    <definedName name="_Ped_MedIV_OplVol_09">PedBerMedIV!$E$11</definedName>
    <definedName name="_Ped_MedIV_OplVol_10">PedBerMedIV!$E$12</definedName>
    <definedName name="_Ped_MedIV_OplVol_11">PedBerMedIV!$E$13</definedName>
    <definedName name="_Ped_MedIV_OplVol_12">PedBerMedIV!$E$14</definedName>
    <definedName name="_Ped_MedIV_OplVol_13">PedBerMedIV!$E$15</definedName>
    <definedName name="_Ped_MedIV_OplVol_14">PedBerMedIV!$E$16</definedName>
    <definedName name="_Ped_MedIV_OplVol_15">PedBerMedIV!$E$17</definedName>
    <definedName name="_Ped_MedIV_Opm">GlobBerOpm!$C$3</definedName>
    <definedName name="_Ped_MedIV_Stand_01">PedBerMedIV!$J$3</definedName>
    <definedName name="_Ped_MedIV_Stand_02">PedBerMedIV!$J$4</definedName>
    <definedName name="_Ped_MedIV_Stand_03">PedBerMedIV!$J$5</definedName>
    <definedName name="_Ped_MedIV_Stand_04">PedBerMedIV!$J$6</definedName>
    <definedName name="_Ped_MedIV_Stand_05">PedBerMedIV!$J$7</definedName>
    <definedName name="_Ped_MedIV_Stand_06">PedBerMedIV!$J$8</definedName>
    <definedName name="_Ped_MedIV_Stand_07">PedBerMedIV!$J$9</definedName>
    <definedName name="_Ped_MedIV_Stand_08">PedBerMedIV!$J$10</definedName>
    <definedName name="_Ped_MedIV_Stand_09">PedBerMedIV!$J$11</definedName>
    <definedName name="_Ped_MedIV_Stand_10">PedBerMedIV!$J$12</definedName>
    <definedName name="_Ped_MedIV_Stand_11">PedBerMedIV!$J$13</definedName>
    <definedName name="_Ped_MedIV_Stand_12">PedBerMedIV!$J$14</definedName>
    <definedName name="_Ped_MedIV_Stand_13">PedBerMedIV!$J$15</definedName>
    <definedName name="_Ped_MedIV_Stand_14">PedBerMedIV!$J$16</definedName>
    <definedName name="_Ped_MedIV_Stand_15">PedBerMedIV!$J$17</definedName>
    <definedName name="_Ped_MedIV_Sterkte_01">PedBerMedIV!$D$3</definedName>
    <definedName name="_Ped_MedIV_Sterkte_02">PedBerMedIV!$D$4</definedName>
    <definedName name="_Ped_MedIV_Sterkte_03">PedBerMedIV!$D$5</definedName>
    <definedName name="_Ped_MedIV_Sterkte_04">PedBerMedIV!$D$6</definedName>
    <definedName name="_Ped_MedIV_Sterkte_05">PedBerMedIV!$D$7</definedName>
    <definedName name="_Ped_MedIV_Sterkte_06">PedBerMedIV!$D$8</definedName>
    <definedName name="_Ped_MedIV_Sterkte_07">PedBerMedIV!$D$9</definedName>
    <definedName name="_Ped_MedIV_Sterkte_08">PedBerMedIV!$D$10</definedName>
    <definedName name="_Ped_MedIV_Sterkte_09">PedBerMedIV!$D$11</definedName>
    <definedName name="_Ped_MedIV_Sterkte_10">PedBerMedIV!$D$12</definedName>
    <definedName name="_Ped_MedIV_Sterkte_11">PedBerMedIV!$D$13</definedName>
    <definedName name="_Ped_MedIV_Sterkte_12">PedBerMedIV!$D$14</definedName>
    <definedName name="_Ped_MedIV_Sterkte_13">PedBerMedIV!$D$15</definedName>
    <definedName name="_Ped_MedIV_Sterkte_14">PedBerMedIV!$D$16</definedName>
    <definedName name="_Ped_MedIV_Sterkte_15">PedBerMedIV!$D$17</definedName>
    <definedName name="_Ped_PM_Actief">PedBerIVenPM!$D$2</definedName>
    <definedName name="_Ped_PM_AO">PedBerIVenPM!$G$2</definedName>
    <definedName name="_Ped_PM_AS">PedBerIVenPM!$G$5</definedName>
    <definedName name="_Ped_PM_AV">PedBerIVenPM!$G$4</definedName>
    <definedName name="_Ped_PM_Freq">PedBerIVenPM!$G$1</definedName>
    <definedName name="_Ped_PM_Mod">PedBerIVenPM!$E$2</definedName>
    <definedName name="_Ped_PM_VO">PedBerIVenPM!$G$3</definedName>
    <definedName name="_Ped_PM_VS">PedBerIVenPM!$G$6</definedName>
    <definedName name="_Ped_TPN_CaCl">PedBerTPN!$C$9</definedName>
    <definedName name="_Ped_TPN_CaGlucVol">PedBerTPN!$E$9</definedName>
    <definedName name="_Ped_TPN_KCl1">PedBerTPN!$C$8</definedName>
    <definedName name="_Ped_TPN_KCl2">PedBerTPN!$C$22</definedName>
    <definedName name="_Ped_TPN_KClVol1">PedBerTPN!$E$8</definedName>
    <definedName name="_Ped_TPN_KClVol2">PedBerTPN!$E$22</definedName>
    <definedName name="_Ped_TPN_Keuze">PedBerTPN!$B$4</definedName>
    <definedName name="_Ped_TPN_KNaFosf">PedBerTPN!$C$11</definedName>
    <definedName name="_Ped_TPN_KNaFosfVol">PedBerTPN!$E$11</definedName>
    <definedName name="_Ped_TPN_LipidStand">PedBerTPN!$D$12</definedName>
    <definedName name="_Ped_TPN_MgCl">PedBerTPN!$C$10</definedName>
    <definedName name="_Ped_TPN_MgClVol">PedBerTPN!$E$10</definedName>
    <definedName name="_Ped_TPN_NaCl1">PedBerTPN!$C$7</definedName>
    <definedName name="_Ped_TPN_NaCl2">PedBerTPN!$C$21</definedName>
    <definedName name="_Ped_TPN_NaClVol1">PedBerTPN!$E$7</definedName>
    <definedName name="_Ped_TPN_NaClVol2">PedBerTPN!$E$21</definedName>
    <definedName name="_Ped_TPN_Opm">GlobBerOpm!$C$4</definedName>
    <definedName name="_Ped_TPN_PediTrace">PedBerTPN!$E$5</definedName>
    <definedName name="_Ped_TPN_SMOF">PedBerTPN!$C$16</definedName>
    <definedName name="_Ped_TPN_Soluvit">PedBerTPN!$C$15</definedName>
    <definedName name="_Ped_TPN_SoluvitVol">PedBerTPN!$E$15</definedName>
    <definedName name="_Ped_TPN_SST1Keuze">PedBerTPN!$B$6</definedName>
    <definedName name="_Ped_TPN_SST1Stand">PedBerTPN!$D$3</definedName>
    <definedName name="_Ped_TPN_SST2Keuze">PedBerTPN!$B$20</definedName>
    <definedName name="_Ped_TPN_SST2Stand">PedBerTPN!$D$19</definedName>
    <definedName name="_Ped_TPN_VitIntra">PedBerTPN!$C$14</definedName>
    <definedName name="_Ped_TPN_VitIntraVol">PedBerTPN!$E$14</definedName>
    <definedName name="_Ped_TPN_Vol">PedBerTPN!$E$4</definedName>
    <definedName name="_xlnm.Print_Area" localSheetId="59">NeoGuiAcuut!$B$2:$G$31</definedName>
    <definedName name="_xlnm.Print_Area" localSheetId="60">NeoPrtAfspr!$A$1:$Q$68</definedName>
    <definedName name="_xlnm.Print_Area" localSheetId="61">NeoPrtApoth!$A$1:$Q$63</definedName>
    <definedName name="_xlnm.Print_Area" localSheetId="53">NeoPrtMedDisc!$B$1:$AG$22</definedName>
    <definedName name="_xlnm.Print_Area" localSheetId="48">NeoPrtWerkbr!$A$1:$P$55</definedName>
    <definedName name="_xlnm.Print_Area" localSheetId="30">PedGuiAcuut!$B$2:$G$44</definedName>
    <definedName name="_xlnm.Print_Area" localSheetId="33">PedPrtAfspr!$A$2:$J$127</definedName>
    <definedName name="_xlnm.Print_Area" localSheetId="34">PedPrtMedDisc!$B$1:$AG$22</definedName>
    <definedName name="_xlnm.Print_Area" localSheetId="38">PedPrtTPN16tot30!$A$1:$H$48</definedName>
    <definedName name="_xlnm.Print_Area" localSheetId="36">PedPrtTPN2tot6!$A$1:$H$48</definedName>
    <definedName name="_xlnm.Print_Area" localSheetId="40">PedPrtTPN50!$A$1:$H$52</definedName>
    <definedName name="_xlnm.Print_Area" localSheetId="37">PedPrtTPN7tot15!$A$1:$H$50</definedName>
    <definedName name="_xlnm.Print_Area" localSheetId="39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ExtraAfspr!$B$7,PedBerExtraAfspr!$B$8,PedBerExtraAfspr!$B$9,PedBerExtraAfspr!$B$10,PedBerExtraAfspr!$B$11,PedBerExtraAfspr!$D$11,PedBerExtraAfspr!$D$12,PedBerExtraAfspr!$D$13,PedBerExtraAfspr!$D$14,PedBerExtraAfspr!$B$15,PedBerExtraAfspr!$B$16,PedBerExtraAfspr!$B$17,PedBerExtraAfspr!$B$20,PedBerExtraAfspr!$B$21,PedBerExtraAfspr!$B$22,PedBerExtraAfspr!$B$23,PedBerExtraAfspr!$B$24,PedBerExtraAfspr!$B$25,PedBerExtraAfspr!$B$27,PedBerExtraAfspr!$B$30,PedBerExtraAfspr!$B$33,PedBerExtraAfspr!$B$36,PedBerExtraAfspr!$B$37,PedBerExtraAfspr!$B$38,PedBerExtraAfspr!$B$39,PedBerExtraAfspr!$D$36,PedBerExtraAfspr!$D$37,PedBerExtraAfspr!$D$38,PedBerExtraAfspr!$F$7,PedBerExtraAfspr!$F$8,PedBerExtraAfspr!$F$9,PedBerExtraAfspr!$F$10,PedBerExtraAfspr!$F$11,PedBerExtraAfspr!$F$12,PedBerExtraAfspr!$F$13,PedBerExtraAfspr!$F$14,PedBerExtraAfspr!$F$15,PedBerExtraAfspr!$B$42,PedBerExtraAfspr!$B$43,PedBerExtraAfspr!$B$44,PedBerExtraAfspr!$F$16,PedBerExtraAfspr!$F$18</definedName>
    <definedName name="rngPedAfsprData">PedBerExtraAfspr!$D$7,PedBerExtraAfspr!$D$8,PedBerExtraAfspr!$D$9,PedBerExtraAfspr!$D$10,PedBerExtraAfspr!$B$12,PedBerExtraAfspr!$D$27,PedBerExtraAfspr!$D$28,PedBerExtraAfspr!$D$29,PedBerExtraAfspr!$D$30,PedBerExtraAfspr!$D$31,PedBerExtraAfspr!$D$32,PedBerExtraAfspr!$D$33,PedBerExtraAfspr!$D$34,PedBerExtraAfspr!$D$35,PedBerExtraAfspr!$D$39,PedBerExtraAfspr!$D$40,PedBerExtraAfspr!$F$17,PedBerExtraAfspr!$C$7,PedBerExtraAfspr!$C$8,PedBerExtraAfspr!$C$9,PedBerExtraAfspr!$C$10,PedBerExtraAfspr!$G$16,PedBerExtraAfspr!$G$18,PedBerExtraAfspr!$H$18,PedBerExtraAfspr!$C$42,PedBerExtra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Patient">PatData!$A$1:$B$712</definedName>
    <definedName name="tbl_Neo_Beds">GlobSettings!$E$2:$E$54</definedName>
    <definedName name="tbl_Neo_Dose">NeoTblLijst!$J$3:$K$11</definedName>
    <definedName name="tbl_Neo_FaktorLijst">NeoTblLijst!$K$3:$K$8</definedName>
    <definedName name="tbl_Neo_IntralipidSmof">NeoTblLijst!$AE$3:$AE$4</definedName>
    <definedName name="tbl_Neo_LijstToevoegingenKV">NeoTblLijst!$M$44:$Y$48</definedName>
    <definedName name="tbl_Neo_LijstToevoegingenMM">NeoTblLijst!$M$33:$Y$39</definedName>
    <definedName name="tbl_Neo_LijstVoeding">NeoTblLijst!$M$3:$Z$19</definedName>
    <definedName name="tbl_Neo_MedIV">NeoTblMedIV!$B$2:$K$26</definedName>
    <definedName name="tbl_Neo_NutrBMFToev">NeoTblLijst!$M$51:$Y$52</definedName>
    <definedName name="tbl_Neo_NutrBMFWaard">NeoTblLijst!$AB$3:$AB$5</definedName>
    <definedName name="tbl_Neo_NutrKunstToev">NeoTblLijst!$L$44:$Y$48</definedName>
    <definedName name="tbl_Neo_NutrMMToev">NeoTblLijst!$L$33:$Y$39</definedName>
    <definedName name="tbl_Neo_NutrToevWaard">NeoTblLijst!$AC$3:$AC$13</definedName>
    <definedName name="tbl_Neo_Opl">NeoTblLijst!$A$3:$H$18</definedName>
    <definedName name="tbl_Neo_OpzoektabelKV">NeoTblLijst!$M$43:$Y$48</definedName>
    <definedName name="tbl_Neo_OpzoektabelMM">NeoTblLijst!$M$32:$Y$39</definedName>
    <definedName name="tbl_Neo_OpzoektabelVoeding">NeoTblLijst!$M$2:$Z$19</definedName>
    <definedName name="tbl_Neo_Pos">NeoTblLijst!$M$3:$Y$19</definedName>
    <definedName name="tbl_Neo_ToevoegingenKVPrint">NeoTblLijst!$L$44:$L$48</definedName>
    <definedName name="tbl_Neo_ToevoegingenMMPrint">NeoTblLijst!$L$33:$L$39</definedName>
    <definedName name="tbl_Neo_TpnNICU">NeoTblLijst!$M$25:$V$26</definedName>
    <definedName name="tbl_Neo_Tube">NeoGuiAcuut!$L$22:$N$24</definedName>
    <definedName name="tbl_Ped_aEEG">PedTblAfsprExtra!$A$2:$A$5</definedName>
    <definedName name="tbl_Ped_Beds">GlobSettings!$D$2:$D$19</definedName>
    <definedName name="tbl_Ped_DrainLokatie">PedTblAfsprExtra!$C$2:$C$6</definedName>
    <definedName name="tbl_Ped_DrainModus">PedTblAfsprExtra!$D$2:$D$5</definedName>
    <definedName name="tbl_Ped_DrainZuig">PedTblAfsprExtra!$B$2:$B$8</definedName>
    <definedName name="tbl_Ped_Lijnen">PedTblAfsprExtra!$F$2:$F$6</definedName>
    <definedName name="tbl_Ped_LiquorDrain">PedTblAfsprExtra!$J$2:$J$5</definedName>
    <definedName name="tbl_Ped_NIBD">PedTblAfsprExtra!$E$2:$E$6</definedName>
    <definedName name="tbl_Ped_Periode">PedTblAfsprExtra!$I$2:$I$5</definedName>
    <definedName name="tbl_Ped_PMInstelling">PedBerIVenPM!$G$1:$G$6</definedName>
    <definedName name="tbl_Ped_PMStandaard">PedBerIVenPM!$H$1:$H$6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PedTblAfsprExtra!$G$2:$H$98</definedName>
    <definedName name="tbl_ReservePat">PatData!#REF!</definedName>
    <definedName name="tblBerMedContIV">PedBerMedIV!$B$2:$H$12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NeoTblVoed!$E$4</definedName>
    <definedName name="tblOmrekenCl">NeoTblVoed!$J$4</definedName>
    <definedName name="tblOmrekenFe">NeoTblVoed!$H$4</definedName>
    <definedName name="tblOmrekenK">NeoTblVoed!$D$4</definedName>
    <definedName name="tblOmrekenMg">NeoTblVoed!$G$4</definedName>
    <definedName name="tblOmrekenNA">NeoTblVoed!$C$4</definedName>
    <definedName name="tblOmrekenP">NeoTblVoed!$F$4</definedName>
    <definedName name="tblOmrekenVitD">NeoTblVoed!$I$4</definedName>
    <definedName name="tblOplossing">PedBerMedIV!$T$3:$T$6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PedTblVoed!$C$3:$O$27</definedName>
    <definedName name="tblPO_poederlijst">PedTblVoed!$C$31:$C$54</definedName>
    <definedName name="tblPoeder">PedTblVoed!$C$31:$O$54</definedName>
    <definedName name="tblSonde">PedTblVoed!$Q$2:$Q$6</definedName>
    <definedName name="tblSSTGlucose">PedBerTPN!$K$27:$K$40</definedName>
    <definedName name="tblTijden">PedBerMedDisc!$C$28:$D$39</definedName>
    <definedName name="tblTPN">PedBerTPN!$A$27:$I$28</definedName>
    <definedName name="tblVoedingBasislijst">NeoTblVoed!$B$8:$N$44</definedName>
    <definedName name="tblVoedingPO">PedTblVoed!$C$3:$C$27</definedName>
    <definedName name="tblVoedingPoeder">NeoTblVoed!$B$49:$N$75</definedName>
    <definedName name="Var_AfspraakDatum">PatDetails!$B$2</definedName>
    <definedName name="Var_Glob_Versie">PatDetails!$I$2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NeoBerIV!$B$6</definedName>
    <definedName name="Var_Neo_Dag1700">NeoBer1700!$B$6</definedName>
    <definedName name="Var_Neo_GebDat1700">NeoBer1700!$B$3</definedName>
    <definedName name="Var_Neo_Gew1700">NeoBer1700!$B$4</definedName>
    <definedName name="Var_Neo_InfuusContinu1">NeoBerIV!$B$90</definedName>
    <definedName name="Var_Neo_InfuusContinu10">NeoBerIV!$B$99</definedName>
    <definedName name="Var_Neo_InfuusContinu11">NeoBerIV!$B$100</definedName>
    <definedName name="Var_Neo_InfuusContinu12">NeoBerIV!$B$101</definedName>
    <definedName name="Var_Neo_InfuusContinu13">NeoBerIV!$B$102</definedName>
    <definedName name="Var_Neo_InfuusContinu14">NeoBerIV!$B$103</definedName>
    <definedName name="Var_Neo_InfuusContinu15">NeoBerIV!$B$104</definedName>
    <definedName name="Var_Neo_InfuusContinu16">NeoBerIV!$B$105</definedName>
    <definedName name="Var_Neo_InfuusContinu17">NeoBerIV!$B$106</definedName>
    <definedName name="Var_Neo_InfuusContinu1700_1">NeoBer1700!$B$90</definedName>
    <definedName name="Var_Neo_InfuusContinu1700_10">NeoBer1700!$B$99</definedName>
    <definedName name="Var_Neo_InfuusContinu1700_11">NeoBer1700!$B$100</definedName>
    <definedName name="Var_Neo_InfuusContinu1700_12">NeoBer1700!$B$101</definedName>
    <definedName name="Var_Neo_InfuusContinu1700_13">NeoBer1700!$B$102</definedName>
    <definedName name="Var_Neo_InfuusContinu1700_14">NeoBer1700!$B$103</definedName>
    <definedName name="Var_Neo_InfuusContinu1700_15">NeoBer1700!$B$104</definedName>
    <definedName name="Var_Neo_InfuusContinu1700_16">NeoBer1700!$B$105</definedName>
    <definedName name="Var_Neo_InfuusContinu1700_17">NeoBer1700!$B$106</definedName>
    <definedName name="Var_Neo_InfuusContinu1700_18">NeoBer1700!$B$107</definedName>
    <definedName name="Var_Neo_InfuusContinu1700_19">NeoBer1700!$B$108</definedName>
    <definedName name="Var_Neo_InfuusContinu1700_2">NeoBer1700!$B$91</definedName>
    <definedName name="Var_Neo_InfuusContinu1700_20">NeoBer1700!$B$109</definedName>
    <definedName name="Var_Neo_InfuusContinu1700_21">NeoBer1700!$B$110</definedName>
    <definedName name="Var_Neo_InfuusContinu1700_22">NeoBer1700!$B$111</definedName>
    <definedName name="Var_Neo_InfuusContinu1700_23">NeoBer1700!$B$112</definedName>
    <definedName name="Var_Neo_InfuusContinu1700_24">NeoBer1700!$B$113</definedName>
    <definedName name="Var_Neo_InfuusContinu1700_25">NeoBer1700!$B$114</definedName>
    <definedName name="Var_Neo_InfuusContinu1700_26">NeoBer1700!$B$115</definedName>
    <definedName name="Var_Neo_InfuusContinu1700_27">NeoBer1700!$B$116</definedName>
    <definedName name="Var_Neo_InfuusContinu1700_3">NeoBer1700!$B$92</definedName>
    <definedName name="Var_Neo_InfuusContinu1700_4">NeoBer1700!$B$93</definedName>
    <definedName name="Var_Neo_InfuusContinu1700_5">NeoBer1700!$B$94</definedName>
    <definedName name="Var_Neo_InfuusContinu1700_6">NeoBer1700!$B$95</definedName>
    <definedName name="Var_Neo_InfuusContinu1700_7">NeoBer1700!$B$96</definedName>
    <definedName name="Var_Neo_InfuusContinu1700_8">NeoBer1700!$B$97</definedName>
    <definedName name="Var_Neo_InfuusContinu1700_9">NeoBer1700!$B$98</definedName>
    <definedName name="Var_Neo_InfuusContinu18">NeoBerIV!$B$107</definedName>
    <definedName name="Var_Neo_InfuusContinu19">NeoBerIV!$B$108</definedName>
    <definedName name="Var_Neo_InfuusContinu2">NeoBerIV!$B$91</definedName>
    <definedName name="Var_Neo_InfuusContinu20">NeoBerIV!$B$109</definedName>
    <definedName name="Var_Neo_InfuusContinu21">NeoBerIV!$B$110</definedName>
    <definedName name="Var_Neo_InfuusContinu22">NeoBerIV!$B$111</definedName>
    <definedName name="Var_Neo_InfuusContinu23">NeoBerIV!$B$112</definedName>
    <definedName name="Var_Neo_InfuusContinu24">NeoBerIV!$B$113</definedName>
    <definedName name="Var_Neo_InfuusContinu25">NeoBerIV!$B$114</definedName>
    <definedName name="Var_Neo_InfuusContinu26">NeoBerIV!$B$115</definedName>
    <definedName name="Var_Neo_InfuusContinu27">NeoBerIV!$B$116</definedName>
    <definedName name="Var_Neo_InfuusContinu3">NeoBerIV!$B$92</definedName>
    <definedName name="Var_Neo_InfuusContinu4">NeoBerIV!$B$93</definedName>
    <definedName name="Var_Neo_InfuusContinu5">NeoBerIV!$B$94</definedName>
    <definedName name="Var_Neo_InfuusContinu6">NeoBerIV!$B$95</definedName>
    <definedName name="Var_Neo_InfuusContinu7">NeoBerIV!$B$96</definedName>
    <definedName name="Var_Neo_InfuusContinu8">NeoBerIV!$B$97</definedName>
    <definedName name="Var_Neo_InfuusContinu9">NeoBerIV!$B$98</definedName>
    <definedName name="Var_Neo_Percentage_0">NeoBerIV!$K$52</definedName>
    <definedName name="Var_Neo_Percentage_1">NeoBerIV!$K$53</definedName>
    <definedName name="Var_Neo_Percentage_2">NeoBerIV!$K$54</definedName>
    <definedName name="Var_Neo_Percentage_3">NeoBerIV!$K$55</definedName>
    <definedName name="Var_Neo_Percentage_4">NeoBerIV!$K$56</definedName>
    <definedName name="Var_Neo_Percentage_5">NeoBerIV!$K$58</definedName>
    <definedName name="Var_Neo_Percentage_6">NeoBerIV!$K$59</definedName>
    <definedName name="Var_Neo_Percentage_7">NeoBerIV!$K$60</definedName>
    <definedName name="Var_Neo_Percentage_8">NeoBerIV!$K$61</definedName>
    <definedName name="Var_Neo_Percentage1700_0">NeoBer1700!$K$52</definedName>
    <definedName name="Var_Neo_Percentage1700_1">NeoBer1700!$K$53</definedName>
    <definedName name="Var_Neo_Percentage1700_2">NeoBer1700!$K$54</definedName>
    <definedName name="Var_Neo_Percentage1700_3">NeoBer1700!$K$55</definedName>
    <definedName name="Var_Neo_Percentage1700_4">NeoBer1700!$K$56</definedName>
    <definedName name="Var_Neo_Percentage1700_5">NeoBer1700!$K$58</definedName>
    <definedName name="Var_Neo_Percentage1700_6">NeoBer1700!$K$59</definedName>
    <definedName name="Var_Neo_Percentage1700_7">NeoBer1700!$K$60</definedName>
    <definedName name="Var_Neo_Percentage1700_8">NeoBer1700!$K$61</definedName>
    <definedName name="Var_Neo_Voeding1">NeoBerIV!$B$73</definedName>
    <definedName name="Var_Neo_Voeding10">NeoBerIV!$B$82</definedName>
    <definedName name="Var_Neo_Voeding11">NeoBerIV!$B$83</definedName>
    <definedName name="Var_Neo_Voeding12">NeoBerIV!$B$84</definedName>
    <definedName name="Var_Neo_Voeding13">NeoBerIV!$B$85</definedName>
    <definedName name="Var_Neo_Voeding14">NeoBerIV!$B$86</definedName>
    <definedName name="Var_Neo_Voeding15">NeoBerIV!$B$87</definedName>
    <definedName name="Var_Neo_Voeding1700_1">NeoBer1700!$B$73</definedName>
    <definedName name="Var_Neo_Voeding1700_10">NeoBer1700!$B$82</definedName>
    <definedName name="Var_Neo_Voeding1700_11">NeoBer1700!$B$83</definedName>
    <definedName name="Var_Neo_Voeding1700_12">NeoBer1700!$B$84</definedName>
    <definedName name="Var_Neo_Voeding1700_13">NeoBer1700!$B$85</definedName>
    <definedName name="Var_Neo_Voeding1700_14">NeoBer1700!$B$86</definedName>
    <definedName name="Var_Neo_Voeding1700_15">NeoBer1700!$B$87</definedName>
    <definedName name="Var_Neo_Voeding1700_2">NeoBer1700!$B$74</definedName>
    <definedName name="Var_Neo_Voeding1700_3">NeoBer1700!$B$75</definedName>
    <definedName name="Var_Neo_Voeding1700_4">NeoBer1700!$B$76</definedName>
    <definedName name="Var_Neo_Voeding1700_5">NeoBer1700!$B$77</definedName>
    <definedName name="Var_Neo_Voeding1700_6">NeoBer1700!$B$78</definedName>
    <definedName name="Var_Neo_Voeding1700_7">NeoBer1700!$B$79</definedName>
    <definedName name="Var_Neo_Voeding1700_8">NeoBer1700!$B$80</definedName>
    <definedName name="Var_Neo_Voeding1700_9">NeoBer1700!$B$81</definedName>
    <definedName name="Var_Neo_Voeding2">NeoBerIV!$B$74</definedName>
    <definedName name="Var_Neo_Voeding3">NeoBerIV!$B$75</definedName>
    <definedName name="Var_Neo_Voeding4">NeoBerIV!$B$76</definedName>
    <definedName name="Var_Neo_Voeding5">NeoBerIV!$B$77</definedName>
    <definedName name="Var_Neo_Voeding6">NeoBerIV!$B$78</definedName>
    <definedName name="Var_Neo_Voeding7">NeoBerIV!$B$79</definedName>
    <definedName name="Var_Neo_Voeding8">NeoBerIV!$B$80</definedName>
    <definedName name="Var_Neo_Voeding9">NeoBerIV!$B$81</definedName>
    <definedName name="Var_Neo_WerkbriefActueelIntravasaleToegangBreuk">NeoPrtWerkbrAct!$N$6</definedName>
    <definedName name="Var_Neo_WerkbriefActueelIntravasaleToegangGeheel">NeoPrtWerkbrAct!$M$6</definedName>
    <definedName name="Var_Neo_WerkbriefActueelIntravasaleToegangStand">NeoPrtWerkbrAct!$A$6</definedName>
    <definedName name="Var_Neo_WerkbriefActueelIntravasaleToegangTekst">NeoPrtWerkbrAct!$C$6</definedName>
    <definedName name="Var_Neo_WerkbriefActueelTPNCaClBreuk">NeoPrtWerkbrAct!$N$10</definedName>
    <definedName name="Var_Neo_WerkbriefActueelTPNCaClGeheel">NeoPrtWerkbrAct!$M$10</definedName>
    <definedName name="Var_Neo_WerkbriefActueelTPNCaClTekst">NeoPrtWerkbrAct!$H$10</definedName>
    <definedName name="Var_Neo_WerkbriefActueelTPNGlucBreuk">NeoPrtWerkbrAct!$N$16</definedName>
    <definedName name="Var_Neo_WerkbriefActueelTPNGlucGeheel">NeoPrtWerkbrAct!$M$16</definedName>
    <definedName name="Var_Neo_WerkbriefActueelTPNGlucTekst">NeoPrtWerkbrAct!$H$16</definedName>
    <definedName name="Var_Neo_WerkbriefActueelTPNKacetaatBreuk">NeoPrtWerkbrAct!$N$9</definedName>
    <definedName name="Var_Neo_WerkbriefActueelTPNKacetaatGeheel">NeoPrtWerkbrAct!$M$9</definedName>
    <definedName name="Var_Neo_WerkbriefActueelTPNKacetaatTekst">NeoPrtWerkbrAct!$H$9</definedName>
    <definedName name="Var_Neo_WerkbriefActueelTPNMgClBreuk">NeoPrtWerkbrAct!$N$11</definedName>
    <definedName name="Var_Neo_WerkbriefActueelTPNMgClGeheel">NeoPrtWerkbrAct!$M$11</definedName>
    <definedName name="Var_Neo_WerkbriefActueelTPNMgClTekst">NeoPrtWerkbrAct!$H$11</definedName>
    <definedName name="Var_Neo_WerkbriefActueelTPNNaClBreuk">NeoPrtWerkbrAct!$N$8</definedName>
    <definedName name="Var_Neo_WerkbriefActueelTPNNaClGeheel">NeoPrtWerkbrAct!$M$8</definedName>
    <definedName name="Var_Neo_WerkbriefActueelTPNNaCLTekst">NeoPrtWerkbrAct!$H$8</definedName>
    <definedName name="Var_Neo_WerkbriefActueelTPNNICUmixBreuk">NeoPrtWerkbrAct!$N$14</definedName>
    <definedName name="Var_Neo_WerkbriefActueelTPNNICUmixGeheel">NeoPrtWerkbrAct!$M$14</definedName>
    <definedName name="Var_Neo_WerkbriefActueelTPNNICUmixTekst">NeoPrtWerkbrAct!$H$14</definedName>
    <definedName name="Var_Neo_WerkbriefActueelTPNPrimeneBreuk">NeoPrtWerkbrAct!$N$13</definedName>
    <definedName name="Var_Neo_WerkbriefActueelTPNPrimeneGeheel">NeoPrtWerkbrAct!$M$13</definedName>
    <definedName name="Var_Neo_WerkbriefActueelTPNPrimeneTekst">NeoPrtWerkbrAct!$H$13</definedName>
    <definedName name="Var_Neo_WerkbriefActueelTPNSamBBreuk">NeoPrtWerkbrAct!$N$15</definedName>
    <definedName name="Var_Neo_WerkbriefActueelTPNSamBGeheel">NeoPrtWerkbrAct!$M$15</definedName>
    <definedName name="Var_Neo_WerkbriefActueelTPNSamBTekst">NeoPrtWerkbrAct!$H$15</definedName>
    <definedName name="Var_Neo_WerkbriefActueelTPNSoluvitBreuk">NeoPrtWerkbrAct!$N$12</definedName>
    <definedName name="Var_Neo_WerkbriefActueelTPNSoluvitGeheel">NeoPrtWerkbrAct!$M$12</definedName>
    <definedName name="Var_Neo_WerkbriefActueelTPNSoluvitTekst">NeoPrtWerkbrAct!$H$12</definedName>
    <definedName name="Var_Neo_WerkbriefActueelTPNStand">NeoPrtWerkbrAct!$A$8</definedName>
    <definedName name="Var_Neo_WerkbriefActueelTPNTotaalBreuk">NeoPrtWerkbrAct!$N$17</definedName>
    <definedName name="Var_Neo_WerkbriefActueelTPNTotaalGeheel">NeoPrtWerkbrAct!$M$17</definedName>
    <definedName name="Var_Neo_WerkbriefIntravasaleToegangBreuk">NeoPrtWerkbr!$N$6</definedName>
    <definedName name="Var_Neo_WerkbriefIntravasaleToegangGeheel">NeoPrtWerkbr!$M$6</definedName>
    <definedName name="Var_Neo_WerkbriefIntravasaleToegangStand">NeoPrtWerkbr!$A$6</definedName>
    <definedName name="Var_Neo_WerkbriefIntravasaleToegangTekst">NeoPrtWerkbr!$C$6</definedName>
    <definedName name="Var_Neo_WerkbriefTPNCaClBreuk">NeoPrtWerkbr!$N$10</definedName>
    <definedName name="Var_Neo_WerkbriefTPNCaClGeheel">NeoPrtWerkbr!$M$10</definedName>
    <definedName name="Var_Neo_WerkbriefTPNCaClTekst">NeoPrtWerkbr!$H$10</definedName>
    <definedName name="Var_Neo_WerkbriefTPNGlucBreuk">NeoPrtWerkbr!$N$16</definedName>
    <definedName name="Var_Neo_WerkbriefTPNGlucGeheel">NeoPrtWerkbr!$M$16</definedName>
    <definedName name="Var_Neo_WerkbriefTPNGlucTekst">NeoPrtWerkbr!$H$16</definedName>
    <definedName name="Var_Neo_WerkbriefTPNKacetaatBreuk">NeoPrtWerkbr!$N$9</definedName>
    <definedName name="Var_Neo_WerkbriefTPNKacetaatGeheel">NeoPrtWerkbr!$M$9</definedName>
    <definedName name="Var_Neo_WerkbriefTPNKacetaatTekst">NeoPrtWerkbr!$H$9</definedName>
    <definedName name="Var_Neo_WerkbriefTPNMgClBreuk">NeoPrtWerkbr!$N$11</definedName>
    <definedName name="Var_Neo_WerkbriefTPNMgClGeheel">NeoPrtWerkbr!$M$11</definedName>
    <definedName name="Var_Neo_WerkbriefTPNMgClTekst">NeoPrtWerkbr!$H$11</definedName>
    <definedName name="Var_Neo_WerkbriefTPNNaClBreuk">NeoPrtWerkbr!$N$8</definedName>
    <definedName name="Var_Neo_WerkbriefTPNNaClGeheel">NeoPrtWerkbr!$M$8</definedName>
    <definedName name="Var_Neo_WerkbriefTPNNaCLTekst">NeoPrtWerkbr!$H$8</definedName>
    <definedName name="Var_Neo_WerkbriefTPNNICUmixBreuk">NeoPrtWerkbr!$N$14</definedName>
    <definedName name="Var_Neo_WerkbriefTPNNICUmixGeheel">NeoPrtWerkbr!$M$14</definedName>
    <definedName name="Var_Neo_WerkbriefTPNNICUmixTekst">NeoPrtWerkbr!$H$14</definedName>
    <definedName name="Var_Neo_WerkbriefTPNPrimeneBreuk">NeoPrtWerkbr!$N$13</definedName>
    <definedName name="Var_Neo_WerkbriefTPNPrimeneGeheel">NeoPrtWerkbr!$M$13</definedName>
    <definedName name="Var_Neo_WerkbriefTPNPrimeneTekst">NeoPrtWerkbr!$H$13</definedName>
    <definedName name="Var_Neo_WerkbriefTPNSamBBreuk">NeoPrtWerkbr!$N$15</definedName>
    <definedName name="Var_Neo_WerkbriefTPNSamBGeheel">NeoPrtWerkbr!$M$15</definedName>
    <definedName name="Var_Neo_WerkbriefTPNSamBTekst">NeoPrtWerkbr!$H$15</definedName>
    <definedName name="Var_Neo_WerkbriefTPNSoluvitBreuk">NeoPrtWerkbr!$N$12</definedName>
    <definedName name="Var_Neo_WerkbriefTPNSoluvitGeheel">NeoPrtWerkbr!$M$12</definedName>
    <definedName name="Var_Neo_WerkbriefTPNSoluvitTekst">NeoPrtWerkbr!$H$12</definedName>
    <definedName name="Var_Neo_WerkbriefTPNStand">NeoPrtWerkbr!$A$8</definedName>
    <definedName name="Var_Neo_WerkbriefTPNTotaalBreuk">NeoPrtWerkbr!$N$17</definedName>
    <definedName name="Var_Neo_WerkbriefTPNTotaalGeheel">NeoPrtWerkbr!$M$17</definedName>
    <definedName name="Var_Ped_AfsprControles">PedBerExtraAfspr!$B$47</definedName>
    <definedName name="Var_Ped_AfsprInstellingen">PedBerExtraAfspr!$B$49</definedName>
    <definedName name="Var_Ped_AfsprOnderzoeken">PedBerExtraAfspr!$B$48</definedName>
    <definedName name="Var_Ped_AfsprOverig">PedBerExtraAfspr!$B$50</definedName>
    <definedName name="Var_Ped_TotVocht">PedBerMedDisc!$P$33</definedName>
    <definedName name="Z_33CCADFA_0D48_46A6_8927_2B2144029216_.wvu.FilterData" localSheetId="6" hidden="1">GlobTemp!$A$2:$B$437</definedName>
    <definedName name="Z_33CCADFA_0D48_46A6_8927_2B2144029216_.wvu.FilterData" localSheetId="9" hidden="1">PatData!$A$1:$P$576</definedName>
    <definedName name="Z_33CCADFA_0D48_46A6_8927_2B2144029216_.wvu.PrintArea" localSheetId="59" hidden="1">NeoGuiAcuut!$B$2:$G$31</definedName>
    <definedName name="Z_33CCADFA_0D48_46A6_8927_2B2144029216_.wvu.PrintArea" localSheetId="53" hidden="1">NeoPrtMedDisc!$B$1:$AG$22</definedName>
    <definedName name="Z_33CCADFA_0D48_46A6_8927_2B2144029216_.wvu.PrintArea" localSheetId="30" hidden="1">PedGuiAcuut!$B$2:$G$44</definedName>
    <definedName name="Z_33CCADFA_0D48_46A6_8927_2B2144029216_.wvu.PrintArea" localSheetId="33" hidden="1">PedPrtAfspr!$A$2:$J$127</definedName>
    <definedName name="Z_33CCADFA_0D48_46A6_8927_2B2144029216_.wvu.PrintArea" localSheetId="34" hidden="1">PedPrtMedDisc!$B$1:$AG$22</definedName>
    <definedName name="Z_33CCADFA_0D48_46A6_8927_2B2144029216_.wvu.PrintArea" localSheetId="38" hidden="1">PedPrtTPN16tot30!$A$1:$H$48</definedName>
    <definedName name="Z_33CCADFA_0D48_46A6_8927_2B2144029216_.wvu.PrintArea" localSheetId="36" hidden="1">PedPrtTPN2tot6!$A$1:$H$48</definedName>
    <definedName name="Z_33CCADFA_0D48_46A6_8927_2B2144029216_.wvu.PrintArea" localSheetId="40" hidden="1">PedPrtTPN50!$A$1:$H$52</definedName>
    <definedName name="Z_33CCADFA_0D48_46A6_8927_2B2144029216_.wvu.PrintArea" localSheetId="37" hidden="1">PedPrtTPN7tot15!$A$1:$H$50</definedName>
    <definedName name="Z_33CCADFA_0D48_46A6_8927_2B2144029216_.wvu.PrintArea" localSheetId="39" hidden="1">PedTPN31tot50!$A$1:$H$49</definedName>
  </definedNames>
  <calcPr calcId="15251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2" i="6" l="1"/>
  <c r="D1813" i="77" l="1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J4" i="56"/>
  <c r="J3" i="56"/>
  <c r="I4" i="50"/>
  <c r="I3" i="50"/>
  <c r="I101" i="5"/>
  <c r="I100" i="5"/>
  <c r="I36" i="5"/>
  <c r="I35" i="5"/>
  <c r="I4" i="5"/>
  <c r="I3" i="5"/>
  <c r="F5" i="3"/>
  <c r="I4" i="60"/>
  <c r="I3" i="60"/>
  <c r="J4" i="58"/>
  <c r="J3" i="58"/>
  <c r="I4" i="20"/>
  <c r="I3" i="20"/>
  <c r="H4" i="17"/>
  <c r="I3" i="17"/>
  <c r="M4" i="13"/>
  <c r="N3" i="13"/>
  <c r="J4" i="10"/>
  <c r="J3" i="10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J2" i="56"/>
  <c r="G3" i="50"/>
  <c r="I1" i="61"/>
  <c r="C3" i="36"/>
  <c r="B4" i="72"/>
  <c r="C3" i="74"/>
  <c r="B4" i="45"/>
  <c r="F17" i="21"/>
  <c r="G31" i="32" s="1"/>
  <c r="F15" i="21"/>
  <c r="F5" i="21"/>
  <c r="G18" i="20" s="1"/>
  <c r="F4" i="21"/>
  <c r="G17" i="32"/>
  <c r="A9" i="32"/>
  <c r="G6" i="32"/>
  <c r="G6" i="31"/>
  <c r="G6" i="30"/>
  <c r="G20" i="29"/>
  <c r="G19" i="29"/>
  <c r="A10" i="29"/>
  <c r="G6" i="29"/>
  <c r="G19" i="28"/>
  <c r="G18" i="28"/>
  <c r="G17" i="28"/>
  <c r="A10" i="28"/>
  <c r="G6" i="28"/>
  <c r="I1" i="16"/>
  <c r="I99" i="5"/>
  <c r="F73" i="5"/>
  <c r="I34" i="5"/>
  <c r="I2" i="5"/>
  <c r="D25" i="3"/>
  <c r="E5" i="3"/>
  <c r="G3" i="60"/>
  <c r="J2" i="58"/>
  <c r="E13" i="24"/>
  <c r="E9" i="24"/>
  <c r="J35" i="20"/>
  <c r="J34" i="20"/>
  <c r="G23" i="20"/>
  <c r="F19" i="20"/>
  <c r="F18" i="20"/>
  <c r="I2" i="20"/>
  <c r="G3" i="17"/>
  <c r="X31" i="14"/>
  <c r="X30" i="14"/>
  <c r="X29" i="14"/>
  <c r="X28" i="14"/>
  <c r="X27" i="14"/>
  <c r="X26" i="14"/>
  <c r="X25" i="14"/>
  <c r="X24" i="14"/>
  <c r="X23" i="14"/>
  <c r="X22" i="14"/>
  <c r="X21" i="14"/>
  <c r="X20" i="14"/>
  <c r="X19" i="14"/>
  <c r="X18" i="14"/>
  <c r="X17" i="14"/>
  <c r="X16" i="14"/>
  <c r="X15" i="14"/>
  <c r="X14" i="14"/>
  <c r="X13" i="14"/>
  <c r="X12" i="14"/>
  <c r="X11" i="14"/>
  <c r="X10" i="14"/>
  <c r="X9" i="14"/>
  <c r="X8" i="14"/>
  <c r="X7" i="14"/>
  <c r="X6" i="14"/>
  <c r="X5" i="14"/>
  <c r="X4" i="14"/>
  <c r="X3" i="14"/>
  <c r="X2" i="14"/>
  <c r="K3" i="13"/>
  <c r="M34" i="11"/>
  <c r="L34" i="11"/>
  <c r="M33" i="11"/>
  <c r="L33" i="11"/>
  <c r="M32" i="11"/>
  <c r="L32" i="11"/>
  <c r="M31" i="11"/>
  <c r="L31" i="11"/>
  <c r="M30" i="11"/>
  <c r="L30" i="11"/>
  <c r="M29" i="11"/>
  <c r="L29" i="11"/>
  <c r="M28" i="11"/>
  <c r="L28" i="11"/>
  <c r="M27" i="11"/>
  <c r="L27" i="11"/>
  <c r="M26" i="11"/>
  <c r="L26" i="11"/>
  <c r="M25" i="11"/>
  <c r="L25" i="11"/>
  <c r="M24" i="11"/>
  <c r="L24" i="11"/>
  <c r="M23" i="11"/>
  <c r="L23" i="11"/>
  <c r="M22" i="11"/>
  <c r="L22" i="11"/>
  <c r="M21" i="11"/>
  <c r="L21" i="11"/>
  <c r="M20" i="11"/>
  <c r="L20" i="11"/>
  <c r="M19" i="11"/>
  <c r="L19" i="11"/>
  <c r="M18" i="11"/>
  <c r="L18" i="11"/>
  <c r="M17" i="11"/>
  <c r="L17" i="11"/>
  <c r="M16" i="11"/>
  <c r="L16" i="11"/>
  <c r="M15" i="11"/>
  <c r="L15" i="11"/>
  <c r="M14" i="11"/>
  <c r="L14" i="11"/>
  <c r="M13" i="11"/>
  <c r="L13" i="11"/>
  <c r="M12" i="11"/>
  <c r="J12" i="11"/>
  <c r="H12" i="11"/>
  <c r="L12" i="11" s="1"/>
  <c r="F12" i="11"/>
  <c r="M11" i="11"/>
  <c r="J11" i="11"/>
  <c r="H11" i="11"/>
  <c r="L11" i="11" s="1"/>
  <c r="F11" i="11"/>
  <c r="M10" i="11"/>
  <c r="L10" i="11"/>
  <c r="M9" i="11"/>
  <c r="L9" i="11"/>
  <c r="M8" i="11"/>
  <c r="L8" i="11"/>
  <c r="M7" i="11"/>
  <c r="L7" i="11"/>
  <c r="M6" i="11"/>
  <c r="L6" i="11"/>
  <c r="M5" i="11"/>
  <c r="L5" i="11"/>
  <c r="M4" i="11"/>
  <c r="L4" i="11"/>
  <c r="J2" i="10"/>
  <c r="F18" i="19"/>
  <c r="M3" i="33"/>
  <c r="B2" i="72"/>
  <c r="F3" i="45"/>
  <c r="B3" i="45"/>
  <c r="B2" i="45"/>
  <c r="G33" i="28" l="1"/>
  <c r="F83" i="5" s="1"/>
  <c r="D1" i="33"/>
  <c r="N1" i="38"/>
  <c r="N2" i="38"/>
  <c r="M1" i="36"/>
  <c r="B4" i="32"/>
  <c r="B4" i="31"/>
  <c r="B4" i="30"/>
  <c r="B6" i="28"/>
  <c r="B6" i="29"/>
  <c r="D4" i="5"/>
  <c r="C15" i="73"/>
  <c r="D5" i="56"/>
  <c r="J2" i="50"/>
  <c r="C15" i="39"/>
  <c r="J2" i="60"/>
  <c r="D5" i="58"/>
  <c r="D5" i="20"/>
  <c r="J2" i="17"/>
  <c r="O2" i="13"/>
  <c r="D5" i="10"/>
  <c r="V18" i="12" l="1"/>
  <c r="U18" i="12"/>
  <c r="V17" i="12"/>
  <c r="U17" i="12"/>
  <c r="V16" i="12"/>
  <c r="U16" i="12"/>
  <c r="H16" i="12" s="1"/>
  <c r="V15" i="12"/>
  <c r="U15" i="12"/>
  <c r="H15" i="12" s="1"/>
  <c r="V14" i="12"/>
  <c r="U14" i="12"/>
  <c r="H14" i="12" s="1"/>
  <c r="V13" i="12"/>
  <c r="U13" i="12"/>
  <c r="H13" i="12" s="1"/>
  <c r="H12" i="12"/>
  <c r="H11" i="12"/>
  <c r="H10" i="12"/>
  <c r="H9" i="12"/>
  <c r="H8" i="12"/>
  <c r="H7" i="12"/>
  <c r="H6" i="12"/>
  <c r="H5" i="12"/>
  <c r="H4" i="12"/>
  <c r="H2" i="12"/>
  <c r="H17" i="12" l="1"/>
  <c r="H24" i="10" s="1"/>
  <c r="H21" i="10"/>
  <c r="H23" i="10"/>
  <c r="H22" i="10"/>
  <c r="H20" i="10"/>
  <c r="D4" i="56" l="1"/>
  <c r="H3" i="56"/>
  <c r="D3" i="56"/>
  <c r="H2" i="56"/>
  <c r="D4" i="58"/>
  <c r="H3" i="58"/>
  <c r="D3" i="58"/>
  <c r="H2" i="58"/>
  <c r="H4" i="58"/>
  <c r="I2" i="56" l="1"/>
  <c r="D2" i="56"/>
  <c r="H4" i="56"/>
  <c r="I2" i="58"/>
  <c r="D2" i="58"/>
  <c r="O5" i="11"/>
  <c r="D25" i="13"/>
  <c r="D23" i="13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M65" i="13" l="1"/>
  <c r="H65" i="13"/>
  <c r="L64" i="13"/>
  <c r="O64" i="13" s="1"/>
  <c r="K64" i="13"/>
  <c r="J64" i="13"/>
  <c r="H64" i="13"/>
  <c r="D64" i="13"/>
  <c r="D65" i="13"/>
  <c r="M63" i="13"/>
  <c r="H63" i="13"/>
  <c r="L62" i="13"/>
  <c r="O62" i="13" s="1"/>
  <c r="K62" i="13"/>
  <c r="J62" i="13"/>
  <c r="H62" i="13"/>
  <c r="D62" i="13"/>
  <c r="D63" i="13"/>
  <c r="M61" i="13"/>
  <c r="H61" i="13"/>
  <c r="L60" i="13"/>
  <c r="O60" i="13" s="1"/>
  <c r="K60" i="13"/>
  <c r="J60" i="13"/>
  <c r="H60" i="13"/>
  <c r="D60" i="13"/>
  <c r="D61" i="13"/>
  <c r="M59" i="13"/>
  <c r="H59" i="13"/>
  <c r="L58" i="13"/>
  <c r="M58" i="13" s="1"/>
  <c r="K58" i="13"/>
  <c r="J58" i="13"/>
  <c r="H58" i="13"/>
  <c r="D58" i="13"/>
  <c r="D59" i="13"/>
  <c r="M57" i="13"/>
  <c r="H57" i="13"/>
  <c r="L56" i="13"/>
  <c r="M56" i="13" s="1"/>
  <c r="K56" i="13"/>
  <c r="J56" i="13"/>
  <c r="H56" i="13"/>
  <c r="D56" i="13"/>
  <c r="D57" i="13"/>
  <c r="M55" i="13"/>
  <c r="H55" i="13"/>
  <c r="L54" i="13"/>
  <c r="K54" i="13"/>
  <c r="J54" i="13"/>
  <c r="H54" i="13"/>
  <c r="D54" i="13"/>
  <c r="D55" i="13"/>
  <c r="D53" i="13"/>
  <c r="M53" i="13"/>
  <c r="H53" i="13"/>
  <c r="L52" i="13"/>
  <c r="K52" i="13"/>
  <c r="J52" i="13"/>
  <c r="H52" i="13"/>
  <c r="D5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D32" i="16" l="1"/>
  <c r="U32" i="16" s="1"/>
  <c r="K65" i="13"/>
  <c r="D31" i="16"/>
  <c r="O31" i="16" s="1"/>
  <c r="K63" i="13"/>
  <c r="D30" i="16"/>
  <c r="L30" i="16" s="1"/>
  <c r="K61" i="13"/>
  <c r="D29" i="16"/>
  <c r="AD29" i="16" s="1"/>
  <c r="K59" i="13"/>
  <c r="D28" i="16"/>
  <c r="V28" i="16" s="1"/>
  <c r="K57" i="13"/>
  <c r="D27" i="16"/>
  <c r="AB27" i="16" s="1"/>
  <c r="K55" i="13"/>
  <c r="D26" i="16"/>
  <c r="K53" i="13"/>
  <c r="O54" i="13"/>
  <c r="M52" i="13"/>
  <c r="G30" i="16"/>
  <c r="M64" i="13"/>
  <c r="M62" i="13"/>
  <c r="M60" i="13"/>
  <c r="O58" i="13"/>
  <c r="O56" i="13"/>
  <c r="M54" i="13"/>
  <c r="O52" i="13"/>
  <c r="M51" i="13"/>
  <c r="H51" i="13"/>
  <c r="L50" i="13"/>
  <c r="K50" i="13"/>
  <c r="J50" i="13"/>
  <c r="H50" i="13"/>
  <c r="D50" i="13"/>
  <c r="D51" i="13"/>
  <c r="AB28" i="16" l="1"/>
  <c r="L28" i="16"/>
  <c r="AD28" i="16"/>
  <c r="N28" i="16"/>
  <c r="X28" i="16"/>
  <c r="E28" i="16"/>
  <c r="W28" i="16"/>
  <c r="H28" i="16"/>
  <c r="O28" i="16"/>
  <c r="U28" i="16"/>
  <c r="Q28" i="16"/>
  <c r="P28" i="16"/>
  <c r="R28" i="16"/>
  <c r="AC28" i="16"/>
  <c r="AA32" i="16"/>
  <c r="S32" i="16"/>
  <c r="W32" i="16"/>
  <c r="AB32" i="16"/>
  <c r="T32" i="16"/>
  <c r="H32" i="16"/>
  <c r="V32" i="16"/>
  <c r="AC32" i="16"/>
  <c r="F32" i="16"/>
  <c r="M32" i="16"/>
  <c r="P30" i="16"/>
  <c r="X30" i="16"/>
  <c r="Z30" i="16"/>
  <c r="H30" i="16"/>
  <c r="J30" i="16"/>
  <c r="T30" i="16"/>
  <c r="AB30" i="16"/>
  <c r="M30" i="16"/>
  <c r="O30" i="16"/>
  <c r="AD30" i="16"/>
  <c r="K32" i="16"/>
  <c r="Y30" i="16"/>
  <c r="S30" i="16"/>
  <c r="Z28" i="16"/>
  <c r="O32" i="16"/>
  <c r="L32" i="16"/>
  <c r="Y32" i="16"/>
  <c r="Z32" i="16"/>
  <c r="P32" i="16"/>
  <c r="Q32" i="16"/>
  <c r="R32" i="16"/>
  <c r="I32" i="16"/>
  <c r="X32" i="16"/>
  <c r="U30" i="16"/>
  <c r="N32" i="16"/>
  <c r="J32" i="16"/>
  <c r="F30" i="16"/>
  <c r="I30" i="16"/>
  <c r="T28" i="16"/>
  <c r="AD32" i="16"/>
  <c r="K30" i="16"/>
  <c r="J31" i="16"/>
  <c r="K31" i="16"/>
  <c r="AB31" i="16"/>
  <c r="U31" i="16"/>
  <c r="AC30" i="16"/>
  <c r="R30" i="16"/>
  <c r="W30" i="16"/>
  <c r="V30" i="16"/>
  <c r="N30" i="16"/>
  <c r="S28" i="16"/>
  <c r="M28" i="16"/>
  <c r="J28" i="16"/>
  <c r="I28" i="16"/>
  <c r="K28" i="16"/>
  <c r="AA31" i="16"/>
  <c r="V31" i="16"/>
  <c r="W31" i="16"/>
  <c r="R31" i="16"/>
  <c r="L31" i="16"/>
  <c r="M31" i="16"/>
  <c r="Y31" i="16"/>
  <c r="S31" i="16"/>
  <c r="AD31" i="16"/>
  <c r="F31" i="16"/>
  <c r="X31" i="16"/>
  <c r="I31" i="16"/>
  <c r="Z31" i="16"/>
  <c r="P31" i="16"/>
  <c r="N31" i="16"/>
  <c r="Q31" i="16"/>
  <c r="AC31" i="16"/>
  <c r="H31" i="16"/>
  <c r="T31" i="16"/>
  <c r="Q30" i="16"/>
  <c r="Y29" i="16"/>
  <c r="M29" i="16"/>
  <c r="Q29" i="16"/>
  <c r="R29" i="16"/>
  <c r="K29" i="16"/>
  <c r="F29" i="16"/>
  <c r="T29" i="16"/>
  <c r="H29" i="16"/>
  <c r="AB29" i="16"/>
  <c r="Z29" i="16"/>
  <c r="S29" i="16"/>
  <c r="N29" i="16"/>
  <c r="E29" i="16"/>
  <c r="I29" i="16"/>
  <c r="L29" i="16"/>
  <c r="W29" i="16"/>
  <c r="AA29" i="16"/>
  <c r="V29" i="16"/>
  <c r="X29" i="16"/>
  <c r="P29" i="16"/>
  <c r="U29" i="16"/>
  <c r="J29" i="16"/>
  <c r="AC29" i="16"/>
  <c r="O29" i="16"/>
  <c r="F28" i="16"/>
  <c r="F27" i="16"/>
  <c r="Y27" i="16"/>
  <c r="H27" i="16"/>
  <c r="Z27" i="16"/>
  <c r="AD27" i="16"/>
  <c r="R27" i="16"/>
  <c r="P27" i="16"/>
  <c r="L27" i="16"/>
  <c r="AA27" i="16"/>
  <c r="AC27" i="16"/>
  <c r="I27" i="16"/>
  <c r="O27" i="16"/>
  <c r="J27" i="16"/>
  <c r="T27" i="16"/>
  <c r="N27" i="16"/>
  <c r="V27" i="16"/>
  <c r="Q27" i="16"/>
  <c r="W27" i="16"/>
  <c r="S27" i="16"/>
  <c r="M27" i="16"/>
  <c r="U27" i="16"/>
  <c r="X27" i="16"/>
  <c r="K27" i="16"/>
  <c r="AA30" i="16"/>
  <c r="Y28" i="16"/>
  <c r="AA28" i="16"/>
  <c r="D25" i="16"/>
  <c r="K51" i="13"/>
  <c r="O50" i="13"/>
  <c r="G28" i="16"/>
  <c r="M50" i="13"/>
  <c r="D49" i="13"/>
  <c r="M49" i="13"/>
  <c r="H49" i="13"/>
  <c r="L48" i="13"/>
  <c r="K48" i="13"/>
  <c r="J48" i="13"/>
  <c r="H48" i="13"/>
  <c r="D48" i="13"/>
  <c r="N47" i="13"/>
  <c r="M47" i="13"/>
  <c r="H47" i="13"/>
  <c r="L46" i="13"/>
  <c r="K46" i="13"/>
  <c r="J46" i="13"/>
  <c r="H46" i="13"/>
  <c r="D46" i="13"/>
  <c r="D47" i="13"/>
  <c r="H22" i="14"/>
  <c r="I46" i="13" s="1"/>
  <c r="S22" i="14"/>
  <c r="T22" i="14"/>
  <c r="V22" i="14"/>
  <c r="W22" i="14"/>
  <c r="Y22" i="14"/>
  <c r="AB22" i="14"/>
  <c r="H23" i="14"/>
  <c r="I48" i="13" s="1"/>
  <c r="P23" i="14"/>
  <c r="S23" i="14" s="1"/>
  <c r="R23" i="14"/>
  <c r="T23" i="14"/>
  <c r="V23" i="14"/>
  <c r="W23" i="14"/>
  <c r="Y23" i="14"/>
  <c r="AB23" i="14"/>
  <c r="H24" i="14"/>
  <c r="P24" i="14"/>
  <c r="S24" i="14"/>
  <c r="T24" i="14"/>
  <c r="V24" i="14"/>
  <c r="W24" i="14"/>
  <c r="Y24" i="14"/>
  <c r="AB24" i="14"/>
  <c r="H25" i="14"/>
  <c r="P25" i="14"/>
  <c r="R25" i="14" s="1"/>
  <c r="V25" i="14"/>
  <c r="W25" i="14"/>
  <c r="Y25" i="14"/>
  <c r="AB25" i="14"/>
  <c r="H26" i="14"/>
  <c r="P26" i="14"/>
  <c r="T26" i="14" s="1"/>
  <c r="S26" i="14"/>
  <c r="V26" i="14"/>
  <c r="W26" i="14"/>
  <c r="Y26" i="14"/>
  <c r="AB26" i="14"/>
  <c r="H27" i="14"/>
  <c r="P27" i="14"/>
  <c r="Z27" i="14" s="1"/>
  <c r="AA27" i="14" s="1"/>
  <c r="T27" i="14"/>
  <c r="V27" i="14"/>
  <c r="W27" i="14"/>
  <c r="Y27" i="14"/>
  <c r="AB27" i="14"/>
  <c r="H28" i="14"/>
  <c r="K28" i="14" s="1"/>
  <c r="P28" i="14"/>
  <c r="S28" i="14" s="1"/>
  <c r="R28" i="14"/>
  <c r="V28" i="14"/>
  <c r="W28" i="14"/>
  <c r="Y28" i="14"/>
  <c r="AB28" i="14"/>
  <c r="H29" i="14"/>
  <c r="E30" i="16" s="1"/>
  <c r="P29" i="14"/>
  <c r="T29" i="14" s="1"/>
  <c r="S29" i="14"/>
  <c r="V29" i="14"/>
  <c r="W29" i="14"/>
  <c r="Y29" i="14"/>
  <c r="AB29" i="14"/>
  <c r="H30" i="14"/>
  <c r="E31" i="16" s="1"/>
  <c r="P30" i="14"/>
  <c r="R30" i="14" s="1"/>
  <c r="S30" i="14"/>
  <c r="V30" i="14"/>
  <c r="W30" i="14"/>
  <c r="Y30" i="14"/>
  <c r="AB30" i="14"/>
  <c r="H31" i="14"/>
  <c r="E32" i="16" s="1"/>
  <c r="P31" i="14"/>
  <c r="T31" i="14" s="1"/>
  <c r="V31" i="14"/>
  <c r="W31" i="14"/>
  <c r="Y31" i="14"/>
  <c r="AB31" i="14"/>
  <c r="M28" i="14" l="1"/>
  <c r="AE28" i="14"/>
  <c r="AD28" i="14" s="1"/>
  <c r="R31" i="14"/>
  <c r="K26" i="14"/>
  <c r="E27" i="16"/>
  <c r="D24" i="16"/>
  <c r="J24" i="16" s="1"/>
  <c r="K49" i="13"/>
  <c r="D23" i="16"/>
  <c r="K47" i="13"/>
  <c r="M48" i="13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M46" i="13"/>
  <c r="G24" i="16"/>
  <c r="S31" i="14"/>
  <c r="Z31" i="14"/>
  <c r="AA31" i="14" s="1"/>
  <c r="K31" i="14"/>
  <c r="N65" i="13"/>
  <c r="I64" i="13"/>
  <c r="T30" i="14"/>
  <c r="Z30" i="14"/>
  <c r="AA30" i="14" s="1"/>
  <c r="K30" i="14"/>
  <c r="N63" i="13"/>
  <c r="I62" i="13"/>
  <c r="Z29" i="14"/>
  <c r="AA29" i="14" s="1"/>
  <c r="R29" i="14"/>
  <c r="K29" i="14"/>
  <c r="N61" i="13"/>
  <c r="I60" i="13"/>
  <c r="T28" i="14"/>
  <c r="Z28" i="14"/>
  <c r="AA28" i="14" s="1"/>
  <c r="I58" i="13"/>
  <c r="N59" i="13"/>
  <c r="S27" i="14"/>
  <c r="R27" i="14"/>
  <c r="K27" i="14"/>
  <c r="I56" i="13"/>
  <c r="N57" i="13"/>
  <c r="Z26" i="14"/>
  <c r="AA26" i="14" s="1"/>
  <c r="R26" i="14"/>
  <c r="N55" i="13"/>
  <c r="I54" i="13"/>
  <c r="T25" i="14"/>
  <c r="S25" i="14"/>
  <c r="Z25" i="14"/>
  <c r="AA25" i="14" s="1"/>
  <c r="K25" i="14"/>
  <c r="N53" i="13"/>
  <c r="I52" i="13"/>
  <c r="I50" i="13"/>
  <c r="N51" i="13"/>
  <c r="N49" i="13"/>
  <c r="Z24" i="14"/>
  <c r="AA24" i="14" s="1"/>
  <c r="R24" i="14"/>
  <c r="K24" i="14"/>
  <c r="Z23" i="14"/>
  <c r="AA23" i="14" s="1"/>
  <c r="O48" i="13"/>
  <c r="K22" i="14"/>
  <c r="P22" i="14"/>
  <c r="O46" i="13"/>
  <c r="K23" i="14"/>
  <c r="J59" i="13"/>
  <c r="AE31" i="14" l="1"/>
  <c r="AD31" i="14" s="1"/>
  <c r="AC31" i="14" s="1"/>
  <c r="C51" i="9" s="1"/>
  <c r="M31" i="14"/>
  <c r="AE30" i="14"/>
  <c r="AD30" i="14" s="1"/>
  <c r="AC30" i="14" s="1"/>
  <c r="C50" i="9" s="1"/>
  <c r="M30" i="14"/>
  <c r="M29" i="14"/>
  <c r="AE29" i="14"/>
  <c r="AD29" i="14" s="1"/>
  <c r="AC29" i="14" s="1"/>
  <c r="C49" i="9" s="1"/>
  <c r="AE27" i="14"/>
  <c r="AD27" i="14" s="1"/>
  <c r="AC27" i="14" s="1"/>
  <c r="C47" i="9" s="1"/>
  <c r="M27" i="14"/>
  <c r="AE26" i="14"/>
  <c r="AD26" i="14" s="1"/>
  <c r="M26" i="14"/>
  <c r="J53" i="13"/>
  <c r="M25" i="14"/>
  <c r="AE25" i="14"/>
  <c r="AD25" i="14" s="1"/>
  <c r="AC25" i="14" s="1"/>
  <c r="C45" i="9" s="1"/>
  <c r="M24" i="14"/>
  <c r="AE24" i="14"/>
  <c r="AD24" i="14" s="1"/>
  <c r="J49" i="13"/>
  <c r="AE23" i="14"/>
  <c r="AD23" i="14" s="1"/>
  <c r="AC23" i="14" s="1"/>
  <c r="C43" i="9" s="1"/>
  <c r="M23" i="14"/>
  <c r="AE22" i="14"/>
  <c r="AD22" i="14" s="1"/>
  <c r="M22" i="14"/>
  <c r="AB24" i="16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J55" i="13"/>
  <c r="C27" i="16"/>
  <c r="J61" i="13"/>
  <c r="C30" i="16"/>
  <c r="J63" i="13"/>
  <c r="C31" i="16"/>
  <c r="AC28" i="14"/>
  <c r="C48" i="9" s="1"/>
  <c r="J57" i="13"/>
  <c r="AC26" i="14"/>
  <c r="C46" i="9" s="1"/>
  <c r="J51" i="13"/>
  <c r="AC24" i="14"/>
  <c r="C44" i="9" s="1"/>
  <c r="R22" i="14"/>
  <c r="Z22" i="14"/>
  <c r="D13" i="11"/>
  <c r="J47" i="13" l="1"/>
  <c r="C23" i="16"/>
  <c r="J65" i="13"/>
  <c r="C32" i="16"/>
  <c r="AA22" i="14"/>
  <c r="AC22" i="14" s="1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K61" i="45"/>
  <c r="K60" i="45"/>
  <c r="K59" i="45"/>
  <c r="K58" i="45"/>
  <c r="K56" i="45"/>
  <c r="K55" i="45"/>
  <c r="K54" i="45"/>
  <c r="K53" i="45"/>
  <c r="K52" i="45"/>
  <c r="B60" i="5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M2" i="74"/>
  <c r="I2" i="74"/>
  <c r="C2" i="74"/>
  <c r="M1" i="74"/>
  <c r="G21" i="72"/>
  <c r="G22" i="72"/>
  <c r="G23" i="72"/>
  <c r="G24" i="72"/>
  <c r="G25" i="72"/>
  <c r="G26" i="72"/>
  <c r="G27" i="72"/>
  <c r="G28" i="72"/>
  <c r="G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I28" i="72" l="1"/>
  <c r="N41" i="33"/>
  <c r="I27" i="72"/>
  <c r="N40" i="33"/>
  <c r="I26" i="72"/>
  <c r="N39" i="33"/>
  <c r="I25" i="72"/>
  <c r="N38" i="33"/>
  <c r="I24" i="72"/>
  <c r="N37" i="33"/>
  <c r="I23" i="72"/>
  <c r="N36" i="33"/>
  <c r="I22" i="72"/>
  <c r="N35" i="33"/>
  <c r="I21" i="72"/>
  <c r="N34" i="33"/>
  <c r="I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K61" i="72"/>
  <c r="B85" i="72" s="1"/>
  <c r="K60" i="72"/>
  <c r="B84" i="72" s="1"/>
  <c r="K59" i="72"/>
  <c r="B83" i="72" s="1"/>
  <c r="K58" i="72"/>
  <c r="B82" i="72" s="1"/>
  <c r="K56" i="72"/>
  <c r="B81" i="72" s="1"/>
  <c r="K55" i="72"/>
  <c r="B80" i="72" s="1"/>
  <c r="K54" i="72"/>
  <c r="B79" i="72" s="1"/>
  <c r="K53" i="72"/>
  <c r="B78" i="72" s="1"/>
  <c r="K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X31" i="72"/>
  <c r="W31" i="72" s="1"/>
  <c r="K31" i="72"/>
  <c r="O31" i="72" s="1"/>
  <c r="X30" i="72"/>
  <c r="W30" i="72" s="1"/>
  <c r="K30" i="72"/>
  <c r="Q30" i="72" s="1"/>
  <c r="X29" i="72"/>
  <c r="W29" i="72" s="1"/>
  <c r="K29" i="72"/>
  <c r="O29" i="72" s="1"/>
  <c r="X28" i="72"/>
  <c r="K28" i="72"/>
  <c r="Q28" i="72" s="1"/>
  <c r="X27" i="72"/>
  <c r="K27" i="72"/>
  <c r="X26" i="72"/>
  <c r="K26" i="72"/>
  <c r="O26" i="72" s="1"/>
  <c r="X25" i="72"/>
  <c r="K25" i="72"/>
  <c r="O25" i="72" s="1"/>
  <c r="X24" i="72"/>
  <c r="K24" i="72"/>
  <c r="Q24" i="72" s="1"/>
  <c r="X23" i="72"/>
  <c r="K23" i="72"/>
  <c r="X22" i="72"/>
  <c r="K22" i="72"/>
  <c r="O22" i="72" s="1"/>
  <c r="X21" i="72"/>
  <c r="K21" i="72"/>
  <c r="O21" i="72" s="1"/>
  <c r="X20" i="72"/>
  <c r="H20" i="72" s="1"/>
  <c r="K20" i="72"/>
  <c r="Q20" i="72" s="1"/>
  <c r="K18" i="72"/>
  <c r="K14" i="72"/>
  <c r="K49" i="72" s="1"/>
  <c r="B5" i="72"/>
  <c r="C14" i="73" s="1"/>
  <c r="D9" i="33" s="1"/>
  <c r="D3" i="73" l="1"/>
  <c r="F63" i="33" s="1"/>
  <c r="W25" i="72"/>
  <c r="H25" i="72"/>
  <c r="H37" i="73" s="1"/>
  <c r="M38" i="33" s="1"/>
  <c r="W23" i="72"/>
  <c r="H23" i="72"/>
  <c r="H35" i="73" s="1"/>
  <c r="M36" i="33" s="1"/>
  <c r="W27" i="72"/>
  <c r="H27" i="72"/>
  <c r="H39" i="73" s="1"/>
  <c r="M40" i="33" s="1"/>
  <c r="W26" i="72"/>
  <c r="H26" i="72"/>
  <c r="H38" i="73" s="1"/>
  <c r="M39" i="33" s="1"/>
  <c r="W24" i="72"/>
  <c r="H24" i="72"/>
  <c r="H36" i="73" s="1"/>
  <c r="M37" i="33" s="1"/>
  <c r="S53" i="72"/>
  <c r="O54" i="72"/>
  <c r="L55" i="72"/>
  <c r="T55" i="72"/>
  <c r="Q56" i="72"/>
  <c r="N58" i="72"/>
  <c r="V58" i="72"/>
  <c r="S59" i="72"/>
  <c r="P60" i="72"/>
  <c r="M61" i="72"/>
  <c r="U61" i="72"/>
  <c r="L54" i="72"/>
  <c r="T54" i="72"/>
  <c r="Q55" i="72"/>
  <c r="N56" i="72"/>
  <c r="V56" i="72"/>
  <c r="O58" i="72"/>
  <c r="L59" i="72"/>
  <c r="P59" i="72"/>
  <c r="T59" i="72"/>
  <c r="M60" i="72"/>
  <c r="Q60" i="72"/>
  <c r="U60" i="72"/>
  <c r="N61" i="72"/>
  <c r="R61" i="72"/>
  <c r="V61" i="72"/>
  <c r="T52" i="72"/>
  <c r="S52" i="72"/>
  <c r="M54" i="72"/>
  <c r="Q54" i="72"/>
  <c r="U54" i="72"/>
  <c r="N55" i="72"/>
  <c r="R55" i="72"/>
  <c r="V55" i="72"/>
  <c r="O56" i="72"/>
  <c r="S56" i="72"/>
  <c r="L58" i="72"/>
  <c r="P58" i="72"/>
  <c r="T58" i="72"/>
  <c r="M59" i="72"/>
  <c r="Q59" i="72"/>
  <c r="U59" i="72"/>
  <c r="N60" i="72"/>
  <c r="R60" i="72"/>
  <c r="V60" i="72"/>
  <c r="O61" i="72"/>
  <c r="S61" i="72"/>
  <c r="N52" i="72"/>
  <c r="V53" i="72"/>
  <c r="S54" i="72"/>
  <c r="P55" i="72"/>
  <c r="M56" i="72"/>
  <c r="U56" i="72"/>
  <c r="R58" i="72"/>
  <c r="O59" i="72"/>
  <c r="L60" i="72"/>
  <c r="T60" i="72"/>
  <c r="Q61" i="72"/>
  <c r="P52" i="72"/>
  <c r="P54" i="72"/>
  <c r="M55" i="72"/>
  <c r="U55" i="72"/>
  <c r="R56" i="72"/>
  <c r="S58" i="72"/>
  <c r="U52" i="72"/>
  <c r="N53" i="72"/>
  <c r="N54" i="72"/>
  <c r="R54" i="72"/>
  <c r="V54" i="72"/>
  <c r="O55" i="72"/>
  <c r="S55" i="72"/>
  <c r="L56" i="72"/>
  <c r="P56" i="72"/>
  <c r="T56" i="72"/>
  <c r="M58" i="72"/>
  <c r="Q58" i="72"/>
  <c r="U58" i="72"/>
  <c r="N59" i="72"/>
  <c r="R59" i="72"/>
  <c r="V59" i="72"/>
  <c r="O60" i="72"/>
  <c r="S60" i="72"/>
  <c r="L61" i="72"/>
  <c r="P61" i="72"/>
  <c r="T61" i="72"/>
  <c r="O53" i="72"/>
  <c r="R53" i="72"/>
  <c r="L52" i="72"/>
  <c r="Q52" i="72"/>
  <c r="V52" i="72"/>
  <c r="L53" i="72"/>
  <c r="P53" i="72"/>
  <c r="T53" i="72"/>
  <c r="M52" i="72"/>
  <c r="R52" i="72"/>
  <c r="M53" i="72"/>
  <c r="Q53" i="72"/>
  <c r="U53" i="72"/>
  <c r="W28" i="72"/>
  <c r="H28" i="72"/>
  <c r="H40" i="73" s="1"/>
  <c r="M41" i="33" s="1"/>
  <c r="W21" i="72"/>
  <c r="H21" i="72"/>
  <c r="H33" i="73" s="1"/>
  <c r="M34" i="33" s="1"/>
  <c r="W20" i="72"/>
  <c r="H32" i="73"/>
  <c r="M33" i="33" s="1"/>
  <c r="W22" i="72"/>
  <c r="H22" i="72"/>
  <c r="H34" i="73" s="1"/>
  <c r="M35" i="33" s="1"/>
  <c r="M22" i="72"/>
  <c r="P26" i="72"/>
  <c r="R28" i="72"/>
  <c r="P31" i="72"/>
  <c r="L26" i="72"/>
  <c r="M29" i="72"/>
  <c r="P29" i="72"/>
  <c r="N28" i="72"/>
  <c r="Q26" i="72"/>
  <c r="M26" i="72"/>
  <c r="P25" i="72"/>
  <c r="L25" i="72"/>
  <c r="Q25" i="72"/>
  <c r="M25" i="72"/>
  <c r="R25" i="72"/>
  <c r="N25" i="72"/>
  <c r="P22" i="72"/>
  <c r="P21" i="72"/>
  <c r="L21" i="72"/>
  <c r="Q21" i="72"/>
  <c r="M21" i="72"/>
  <c r="R21" i="72"/>
  <c r="N21" i="72"/>
  <c r="Q31" i="72"/>
  <c r="L31" i="72"/>
  <c r="M31" i="72"/>
  <c r="N30" i="72"/>
  <c r="R30" i="72"/>
  <c r="Q29" i="72"/>
  <c r="L29" i="72"/>
  <c r="N24" i="72"/>
  <c r="R24" i="72"/>
  <c r="Q22" i="72"/>
  <c r="L22" i="72"/>
  <c r="R20" i="72"/>
  <c r="N20" i="72"/>
  <c r="C6" i="72"/>
  <c r="I12" i="73"/>
  <c r="M5" i="33" s="1"/>
  <c r="N14" i="72"/>
  <c r="R14" i="72"/>
  <c r="V14" i="72"/>
  <c r="O52" i="72"/>
  <c r="R27" i="72"/>
  <c r="N27" i="72"/>
  <c r="P27" i="72"/>
  <c r="Q27" i="72"/>
  <c r="M27" i="72"/>
  <c r="L27" i="72"/>
  <c r="L18" i="72"/>
  <c r="R23" i="72"/>
  <c r="N23" i="72"/>
  <c r="Q23" i="72"/>
  <c r="M23" i="72"/>
  <c r="P23" i="72"/>
  <c r="L23" i="72"/>
  <c r="O27" i="72"/>
  <c r="O23" i="72"/>
  <c r="O20" i="72"/>
  <c r="O24" i="72"/>
  <c r="O28" i="72"/>
  <c r="L14" i="72"/>
  <c r="P14" i="72"/>
  <c r="T14" i="72"/>
  <c r="L20" i="72"/>
  <c r="P20" i="72"/>
  <c r="N22" i="72"/>
  <c r="R22" i="72"/>
  <c r="L24" i="72"/>
  <c r="P24" i="72"/>
  <c r="N26" i="72"/>
  <c r="R26" i="72"/>
  <c r="L28" i="72"/>
  <c r="P28" i="72"/>
  <c r="N29" i="72"/>
  <c r="R29" i="72"/>
  <c r="L30" i="72"/>
  <c r="P30" i="72"/>
  <c r="N31" i="72"/>
  <c r="R31" i="72"/>
  <c r="O14" i="72"/>
  <c r="S14" i="72"/>
  <c r="O30" i="72"/>
  <c r="M14" i="72"/>
  <c r="Q14" i="72"/>
  <c r="U14" i="72"/>
  <c r="M20" i="72"/>
  <c r="M24" i="72"/>
  <c r="M28" i="72"/>
  <c r="M30" i="72"/>
  <c r="B42" i="72" l="1"/>
  <c r="K57" i="73" s="1"/>
  <c r="B38" i="72"/>
  <c r="K53" i="73" s="1"/>
  <c r="B16" i="72"/>
  <c r="K18" i="73" s="1"/>
  <c r="B44" i="72"/>
  <c r="K59" i="73" s="1"/>
  <c r="B40" i="72"/>
  <c r="K55" i="73" s="1"/>
  <c r="B41" i="72"/>
  <c r="K56" i="73" s="1"/>
  <c r="B37" i="72"/>
  <c r="K52" i="73" s="1"/>
  <c r="B43" i="72"/>
  <c r="K58" i="73" s="1"/>
  <c r="B39" i="72"/>
  <c r="K54" i="73" s="1"/>
  <c r="B35" i="72"/>
  <c r="K48" i="73" s="1"/>
  <c r="N37" i="73"/>
  <c r="B95" i="72" s="1"/>
  <c r="N35" i="73"/>
  <c r="B93" i="72" s="1"/>
  <c r="N36" i="73"/>
  <c r="B94" i="72" s="1"/>
  <c r="N38" i="73"/>
  <c r="B96" i="72" s="1"/>
  <c r="N39" i="73"/>
  <c r="B97" i="72" s="1"/>
  <c r="R62" i="72"/>
  <c r="P57" i="72"/>
  <c r="V62" i="72"/>
  <c r="Q62" i="72"/>
  <c r="L62" i="72"/>
  <c r="O62" i="72"/>
  <c r="N62" i="72"/>
  <c r="S62" i="72"/>
  <c r="U62" i="72"/>
  <c r="N57" i="72"/>
  <c r="S57" i="72"/>
  <c r="M62" i="72"/>
  <c r="T62" i="72"/>
  <c r="P62" i="72"/>
  <c r="P49" i="72" s="1"/>
  <c r="R57" i="72"/>
  <c r="U57" i="72"/>
  <c r="V57" i="72"/>
  <c r="T57" i="72"/>
  <c r="O57" i="72"/>
  <c r="L57" i="72"/>
  <c r="M57" i="72"/>
  <c r="Q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I8" i="73" l="1"/>
  <c r="O68" i="33" s="1"/>
  <c r="S49" i="72"/>
  <c r="O49" i="72"/>
  <c r="Q49" i="72"/>
  <c r="N49" i="72"/>
  <c r="T49" i="72"/>
  <c r="U49" i="72"/>
  <c r="L49" i="72"/>
  <c r="R49" i="72"/>
  <c r="M49" i="72"/>
  <c r="V49" i="72"/>
  <c r="D8" i="73" s="1"/>
  <c r="F68" i="33" s="1"/>
  <c r="I6" i="73" l="1"/>
  <c r="O66" i="33" s="1"/>
  <c r="I7" i="73"/>
  <c r="O67" i="33" s="1"/>
  <c r="D6" i="73"/>
  <c r="F66" i="33" s="1"/>
  <c r="I4" i="73"/>
  <c r="O64" i="33" s="1"/>
  <c r="D7" i="73"/>
  <c r="F67" i="33" s="1"/>
  <c r="D5" i="73"/>
  <c r="F65" i="33" s="1"/>
  <c r="I5" i="73"/>
  <c r="O65" i="33" s="1"/>
  <c r="I3" i="73"/>
  <c r="O63" i="33" s="1"/>
  <c r="D4" i="73"/>
  <c r="F64" i="33" s="1"/>
  <c r="C99" i="9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H44" i="13" l="1"/>
  <c r="H42" i="13"/>
  <c r="H40" i="13"/>
  <c r="K41" i="13" s="1"/>
  <c r="H38" i="13"/>
  <c r="K39" i="13" s="1"/>
  <c r="H36" i="13"/>
  <c r="H34" i="13"/>
  <c r="H32" i="13"/>
  <c r="H30" i="13"/>
  <c r="H28" i="13"/>
  <c r="H26" i="13"/>
  <c r="H24" i="13"/>
  <c r="H22" i="13"/>
  <c r="H20" i="13"/>
  <c r="H18" i="13"/>
  <c r="H16" i="13"/>
  <c r="H14" i="13"/>
  <c r="H12" i="13"/>
  <c r="H10" i="13"/>
  <c r="H8" i="13"/>
  <c r="H6" i="13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I9" i="17"/>
  <c r="J9" i="17"/>
  <c r="I10" i="17"/>
  <c r="J10" i="17"/>
  <c r="I11" i="17"/>
  <c r="J11" i="17"/>
  <c r="I12" i="17"/>
  <c r="J12" i="17"/>
  <c r="I13" i="17"/>
  <c r="J13" i="17"/>
  <c r="J8" i="17"/>
  <c r="I8" i="17"/>
  <c r="F9" i="17"/>
  <c r="F10" i="17"/>
  <c r="F11" i="17"/>
  <c r="F12" i="17"/>
  <c r="F13" i="17"/>
  <c r="F8" i="17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" i="14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C43" i="60" l="1"/>
  <c r="C54" i="9" s="1"/>
  <c r="B48" i="59"/>
  <c r="D25" i="5" s="1"/>
  <c r="D35" i="60"/>
  <c r="D41" i="50"/>
  <c r="C47" i="50" l="1"/>
  <c r="C130" i="9" s="1"/>
  <c r="AB1" i="61" l="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C30" i="17" l="1"/>
  <c r="C25" i="17"/>
  <c r="C24" i="17"/>
  <c r="C43" i="58" l="1"/>
  <c r="C43" i="56"/>
  <c r="D78" i="33"/>
  <c r="D74" i="39"/>
  <c r="C120" i="9" l="1"/>
  <c r="C119" i="9"/>
  <c r="B74" i="45"/>
  <c r="C116" i="9" s="1"/>
  <c r="B45" i="39" l="1"/>
  <c r="B46" i="39"/>
  <c r="C11" i="60" l="1"/>
  <c r="C4" i="60"/>
  <c r="F3" i="60"/>
  <c r="C3" i="60"/>
  <c r="F2" i="60"/>
  <c r="C44" i="60"/>
  <c r="C55" i="9" s="1"/>
  <c r="C41" i="60"/>
  <c r="C52" i="9" s="1"/>
  <c r="C42" i="60" l="1"/>
  <c r="C53" i="9" s="1"/>
  <c r="F4" i="60"/>
  <c r="C2" i="60"/>
  <c r="G2" i="60"/>
  <c r="C12" i="50"/>
  <c r="J17" i="50"/>
  <c r="K17" i="50"/>
  <c r="G31" i="50"/>
  <c r="C27" i="52"/>
  <c r="D27" i="50" l="1"/>
  <c r="B57" i="52"/>
  <c r="D83" i="33" s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C4" i="50"/>
  <c r="F3" i="50"/>
  <c r="F2" i="50"/>
  <c r="G2" i="50" l="1"/>
  <c r="F4" i="50"/>
  <c r="C134" i="9" l="1"/>
  <c r="C137" i="9"/>
  <c r="C136" i="9"/>
  <c r="C135" i="9"/>
  <c r="C133" i="9"/>
  <c r="D2" i="38" l="1"/>
  <c r="C2" i="36"/>
  <c r="B5" i="45"/>
  <c r="E5" i="40" l="1"/>
  <c r="D5" i="40"/>
  <c r="B5" i="40"/>
  <c r="C5" i="40"/>
  <c r="H16" i="39"/>
  <c r="D2" i="10"/>
  <c r="H2" i="10"/>
  <c r="I2" i="10"/>
  <c r="D3" i="10"/>
  <c r="H3" i="10"/>
  <c r="D4" i="10"/>
  <c r="H4" i="10"/>
  <c r="I11" i="39"/>
  <c r="I10" i="39"/>
  <c r="X31" i="45" l="1"/>
  <c r="W31" i="45" s="1"/>
  <c r="K31" i="45"/>
  <c r="O31" i="45" s="1"/>
  <c r="X30" i="45"/>
  <c r="W30" i="45" s="1"/>
  <c r="K30" i="45"/>
  <c r="O30" i="45" s="1"/>
  <c r="X29" i="45"/>
  <c r="W29" i="45" s="1"/>
  <c r="K29" i="45"/>
  <c r="O29" i="45" s="1"/>
  <c r="X28" i="45"/>
  <c r="K28" i="45"/>
  <c r="O28" i="45" s="1"/>
  <c r="G28" i="45"/>
  <c r="I28" i="45" s="1"/>
  <c r="X27" i="45"/>
  <c r="K27" i="45"/>
  <c r="O27" i="45" s="1"/>
  <c r="G27" i="45"/>
  <c r="I27" i="45" s="1"/>
  <c r="X26" i="45"/>
  <c r="K26" i="45"/>
  <c r="O26" i="45" s="1"/>
  <c r="G26" i="45"/>
  <c r="I26" i="45" s="1"/>
  <c r="X25" i="45"/>
  <c r="K25" i="45"/>
  <c r="G25" i="45"/>
  <c r="I25" i="45" s="1"/>
  <c r="X24" i="45"/>
  <c r="K24" i="45"/>
  <c r="O24" i="45" s="1"/>
  <c r="G24" i="45"/>
  <c r="I24" i="45" s="1"/>
  <c r="X23" i="45"/>
  <c r="K23" i="45"/>
  <c r="O23" i="45" s="1"/>
  <c r="G23" i="45"/>
  <c r="I23" i="45" s="1"/>
  <c r="X22" i="45"/>
  <c r="K22" i="45"/>
  <c r="O22" i="45" s="1"/>
  <c r="G22" i="45"/>
  <c r="I22" i="45" s="1"/>
  <c r="X21" i="45"/>
  <c r="K21" i="45"/>
  <c r="G21" i="45"/>
  <c r="I21" i="45" s="1"/>
  <c r="X20" i="45"/>
  <c r="W20" i="45" s="1"/>
  <c r="K20" i="45"/>
  <c r="O20" i="45" s="1"/>
  <c r="G20" i="45"/>
  <c r="I20" i="45" s="1"/>
  <c r="K18" i="45"/>
  <c r="L18" i="45" s="1"/>
  <c r="K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O58" i="38"/>
  <c r="M58" i="38"/>
  <c r="I58" i="38"/>
  <c r="G58" i="38"/>
  <c r="C58" i="38"/>
  <c r="A58" i="38"/>
  <c r="Q52" i="38"/>
  <c r="P52" i="38"/>
  <c r="K52" i="38"/>
  <c r="J52" i="38"/>
  <c r="E52" i="38"/>
  <c r="D52" i="38"/>
  <c r="O47" i="38"/>
  <c r="M47" i="38"/>
  <c r="I47" i="38"/>
  <c r="G47" i="38"/>
  <c r="C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J2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M2" i="36"/>
  <c r="I2" i="36"/>
  <c r="J42" i="74"/>
  <c r="J33" i="74"/>
  <c r="J30" i="74"/>
  <c r="J27" i="74"/>
  <c r="F10" i="33"/>
  <c r="O1" i="33"/>
  <c r="M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W23" i="45"/>
  <c r="H23" i="45"/>
  <c r="H35" i="39" s="1"/>
  <c r="W24" i="45"/>
  <c r="H24" i="45"/>
  <c r="H36" i="39" s="1"/>
  <c r="W25" i="45"/>
  <c r="H25" i="45"/>
  <c r="H37" i="39" s="1"/>
  <c r="W26" i="45"/>
  <c r="H26" i="45"/>
  <c r="H38" i="39" s="1"/>
  <c r="W27" i="45"/>
  <c r="H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W22" i="45"/>
  <c r="H22" i="45"/>
  <c r="H34" i="39" s="1"/>
  <c r="S14" i="45"/>
  <c r="Q14" i="45"/>
  <c r="C121" i="9"/>
  <c r="C122" i="9"/>
  <c r="C52" i="36"/>
  <c r="D38" i="38" s="1"/>
  <c r="W28" i="45"/>
  <c r="H28" i="45"/>
  <c r="H40" i="39" s="1"/>
  <c r="C31" i="36"/>
  <c r="D10" i="38" s="1"/>
  <c r="G51" i="38" s="1"/>
  <c r="W21" i="45"/>
  <c r="H21" i="45"/>
  <c r="H33" i="39" s="1"/>
  <c r="H20" i="45"/>
  <c r="H32" i="39" s="1"/>
  <c r="L26" i="45"/>
  <c r="M26" i="45"/>
  <c r="Q26" i="45"/>
  <c r="L24" i="45"/>
  <c r="P24" i="45"/>
  <c r="M22" i="45"/>
  <c r="J30" i="36"/>
  <c r="A22" i="36"/>
  <c r="A20" i="36"/>
  <c r="M20" i="36" s="1"/>
  <c r="N31" i="45"/>
  <c r="P31" i="45"/>
  <c r="L31" i="45"/>
  <c r="Q31" i="45"/>
  <c r="M31" i="45"/>
  <c r="R31" i="45"/>
  <c r="L30" i="45"/>
  <c r="P30" i="45"/>
  <c r="N29" i="45"/>
  <c r="P29" i="45"/>
  <c r="L29" i="45"/>
  <c r="Q29" i="45"/>
  <c r="M29" i="45"/>
  <c r="R29" i="45"/>
  <c r="J51" i="36"/>
  <c r="M52" i="36"/>
  <c r="N52" i="36" s="1"/>
  <c r="P27" i="45"/>
  <c r="J45" i="36"/>
  <c r="M44" i="36"/>
  <c r="N44" i="36" s="1"/>
  <c r="O44" i="36"/>
  <c r="M46" i="36"/>
  <c r="N46" i="36" s="1"/>
  <c r="R26" i="45"/>
  <c r="M43" i="36"/>
  <c r="N43" i="36" s="1"/>
  <c r="J42" i="36"/>
  <c r="B25" i="38"/>
  <c r="M40" i="36"/>
  <c r="N40" i="36" s="1"/>
  <c r="J39" i="36"/>
  <c r="J36" i="36"/>
  <c r="L23" i="45"/>
  <c r="B17" i="38"/>
  <c r="M23" i="45"/>
  <c r="N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L28" i="45"/>
  <c r="P28" i="45"/>
  <c r="Q27" i="45"/>
  <c r="L27" i="45"/>
  <c r="M27" i="45"/>
  <c r="P26" i="45"/>
  <c r="N26" i="45"/>
  <c r="P23" i="45"/>
  <c r="Q23" i="45"/>
  <c r="R22" i="45"/>
  <c r="P22" i="45"/>
  <c r="L22" i="45"/>
  <c r="Q22" i="45"/>
  <c r="B6" i="45"/>
  <c r="I12" i="39"/>
  <c r="L20" i="45"/>
  <c r="P20" i="45"/>
  <c r="C28" i="36"/>
  <c r="D6" i="38" s="1"/>
  <c r="A51" i="38" s="1"/>
  <c r="O26" i="36"/>
  <c r="K5" i="38"/>
  <c r="C18" i="33"/>
  <c r="L14" i="45"/>
  <c r="P14" i="45"/>
  <c r="T14" i="45"/>
  <c r="R25" i="45"/>
  <c r="N25" i="45"/>
  <c r="Q25" i="45"/>
  <c r="M25" i="45"/>
  <c r="P25" i="45"/>
  <c r="L25" i="45"/>
  <c r="O25" i="45"/>
  <c r="B41" i="38"/>
  <c r="C54" i="36"/>
  <c r="A21" i="36"/>
  <c r="M21" i="36" s="1"/>
  <c r="N21" i="36" s="1"/>
  <c r="I5" i="38"/>
  <c r="J27" i="36"/>
  <c r="M28" i="36"/>
  <c r="D21" i="36"/>
  <c r="R21" i="45"/>
  <c r="N21" i="45"/>
  <c r="Q21" i="45"/>
  <c r="M21" i="45"/>
  <c r="P21" i="45"/>
  <c r="L21" i="45"/>
  <c r="O21" i="45"/>
  <c r="I9" i="38"/>
  <c r="I13" i="38"/>
  <c r="I17" i="38"/>
  <c r="I21" i="38"/>
  <c r="I25" i="38"/>
  <c r="I29" i="38"/>
  <c r="I33" i="38"/>
  <c r="I37" i="38"/>
  <c r="M14" i="45"/>
  <c r="U14" i="45"/>
  <c r="M20" i="45"/>
  <c r="Q20" i="45"/>
  <c r="N23" i="45"/>
  <c r="R23" i="45"/>
  <c r="M24" i="45"/>
  <c r="Q24" i="45"/>
  <c r="N27" i="45"/>
  <c r="R27" i="45"/>
  <c r="M28" i="45"/>
  <c r="Q28" i="45"/>
  <c r="M30" i="45"/>
  <c r="Q30" i="45"/>
  <c r="K49" i="45"/>
  <c r="D3" i="39" s="1"/>
  <c r="N14" i="45"/>
  <c r="R14" i="45"/>
  <c r="V14" i="45"/>
  <c r="N20" i="45"/>
  <c r="R20" i="45"/>
  <c r="N24" i="45"/>
  <c r="R24" i="45"/>
  <c r="N28" i="45"/>
  <c r="R28" i="45"/>
  <c r="N30" i="45"/>
  <c r="R30" i="45"/>
  <c r="O14" i="45"/>
  <c r="D6" i="13"/>
  <c r="R61" i="45" l="1"/>
  <c r="U61" i="45"/>
  <c r="M61" i="45"/>
  <c r="V60" i="45"/>
  <c r="P60" i="45"/>
  <c r="U60" i="45"/>
  <c r="U59" i="45"/>
  <c r="L59" i="45"/>
  <c r="M56" i="45"/>
  <c r="R56" i="45"/>
  <c r="P56" i="45"/>
  <c r="S55" i="45"/>
  <c r="N55" i="45"/>
  <c r="U55" i="45"/>
  <c r="R54" i="45"/>
  <c r="L54" i="45"/>
  <c r="U54" i="45"/>
  <c r="V61" i="45"/>
  <c r="L61" i="45"/>
  <c r="Q61" i="45"/>
  <c r="O60" i="45"/>
  <c r="T60" i="45"/>
  <c r="N59" i="45"/>
  <c r="O59" i="45"/>
  <c r="P59" i="45"/>
  <c r="Q56" i="45"/>
  <c r="V56" i="45"/>
  <c r="T56" i="45"/>
  <c r="T55" i="45"/>
  <c r="R55" i="45"/>
  <c r="V55" i="45"/>
  <c r="V54" i="45"/>
  <c r="P54" i="45"/>
  <c r="O61" i="45"/>
  <c r="P61" i="45"/>
  <c r="N60" i="45"/>
  <c r="S60" i="45"/>
  <c r="M60" i="45"/>
  <c r="R59" i="45"/>
  <c r="S59" i="45"/>
  <c r="T59" i="45"/>
  <c r="U56" i="45"/>
  <c r="O56" i="45"/>
  <c r="S56" i="45"/>
  <c r="M55" i="45"/>
  <c r="L55" i="45"/>
  <c r="M54" i="45"/>
  <c r="O54" i="45"/>
  <c r="T54" i="45"/>
  <c r="N61" i="45"/>
  <c r="S61" i="45"/>
  <c r="T61" i="45"/>
  <c r="R60" i="45"/>
  <c r="L60" i="45"/>
  <c r="Q60" i="45"/>
  <c r="V59" i="45"/>
  <c r="Q59" i="45"/>
  <c r="M59" i="45"/>
  <c r="N56" i="45"/>
  <c r="L56" i="45"/>
  <c r="O55" i="45"/>
  <c r="Q55" i="45"/>
  <c r="P55" i="45"/>
  <c r="N54" i="45"/>
  <c r="S54" i="45"/>
  <c r="Q54" i="45"/>
  <c r="Q58" i="45"/>
  <c r="L58" i="45"/>
  <c r="N58" i="45"/>
  <c r="T58" i="45"/>
  <c r="R58" i="45"/>
  <c r="M58" i="45"/>
  <c r="U58" i="45"/>
  <c r="O58" i="45"/>
  <c r="P58" i="45"/>
  <c r="S58" i="45"/>
  <c r="V58" i="45"/>
  <c r="O53" i="45"/>
  <c r="S53" i="45"/>
  <c r="Q53" i="45"/>
  <c r="M53" i="45"/>
  <c r="V53" i="45"/>
  <c r="P53" i="45"/>
  <c r="L53" i="45"/>
  <c r="U53" i="45"/>
  <c r="N53" i="45"/>
  <c r="R53" i="45"/>
  <c r="T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V52" i="45"/>
  <c r="R52" i="45"/>
  <c r="N52" i="45"/>
  <c r="U52" i="45"/>
  <c r="Q52" i="45"/>
  <c r="M52" i="45"/>
  <c r="O52" i="45"/>
  <c r="T52" i="45"/>
  <c r="P52" i="45"/>
  <c r="L52" i="45"/>
  <c r="S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H15" i="39"/>
  <c r="C88" i="9" s="1"/>
  <c r="J12" i="39"/>
  <c r="J6" i="33"/>
  <c r="B5" i="38"/>
  <c r="D5" i="38"/>
  <c r="M26" i="36"/>
  <c r="N26" i="36" s="1"/>
  <c r="N28" i="36"/>
  <c r="M49" i="38"/>
  <c r="K14" i="38"/>
  <c r="M50" i="38" s="1"/>
  <c r="F15" i="38"/>
  <c r="F35" i="38"/>
  <c r="K34" i="38"/>
  <c r="B44" i="45" l="1"/>
  <c r="B40" i="45"/>
  <c r="B35" i="45"/>
  <c r="B38" i="45"/>
  <c r="B43" i="45"/>
  <c r="B39" i="45"/>
  <c r="B41" i="45"/>
  <c r="B37" i="45"/>
  <c r="B42" i="45"/>
  <c r="B16" i="45"/>
  <c r="N39" i="38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N62" i="45"/>
  <c r="U62" i="45"/>
  <c r="V62" i="45"/>
  <c r="S62" i="45"/>
  <c r="Q62" i="45"/>
  <c r="R62" i="45"/>
  <c r="M62" i="45"/>
  <c r="T62" i="45"/>
  <c r="O62" i="45"/>
  <c r="P62" i="45"/>
  <c r="L62" i="45"/>
  <c r="R57" i="45"/>
  <c r="V57" i="45"/>
  <c r="T57" i="45"/>
  <c r="S57" i="45"/>
  <c r="O57" i="45"/>
  <c r="U57" i="45"/>
  <c r="Q57" i="45"/>
  <c r="M57" i="45"/>
  <c r="L57" i="45"/>
  <c r="P57" i="45"/>
  <c r="N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H58" i="73" s="1"/>
  <c r="K43" i="72"/>
  <c r="I59" i="73"/>
  <c r="J59" i="73" s="1"/>
  <c r="K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F48" i="73" s="1"/>
  <c r="B104" i="72"/>
  <c r="K42" i="72"/>
  <c r="E57" i="73"/>
  <c r="F56" i="33" s="1"/>
  <c r="K40" i="72"/>
  <c r="E55" i="73"/>
  <c r="F54" i="33" s="1"/>
  <c r="K38" i="72"/>
  <c r="E53" i="73"/>
  <c r="F52" i="33" s="1"/>
  <c r="K37" i="72"/>
  <c r="E52" i="73"/>
  <c r="F51" i="33" s="1"/>
  <c r="K39" i="72"/>
  <c r="E54" i="73"/>
  <c r="F53" i="33" s="1"/>
  <c r="C38" i="45"/>
  <c r="K38" i="45" s="1"/>
  <c r="K59" i="39"/>
  <c r="K58" i="39"/>
  <c r="K48" i="39"/>
  <c r="C39" i="45"/>
  <c r="K39" i="45" s="1"/>
  <c r="C37" i="45"/>
  <c r="E52" i="39" s="1"/>
  <c r="C41" i="45"/>
  <c r="V41" i="45" s="1"/>
  <c r="K55" i="39"/>
  <c r="K57" i="39"/>
  <c r="C16" i="45"/>
  <c r="C17" i="45" s="1"/>
  <c r="K35" i="72"/>
  <c r="V35" i="72"/>
  <c r="K41" i="72"/>
  <c r="V41" i="72"/>
  <c r="C35" i="45"/>
  <c r="N18" i="38"/>
  <c r="O18" i="38" s="1"/>
  <c r="O21" i="38"/>
  <c r="N22" i="38" s="1"/>
  <c r="O22" i="38" s="1"/>
  <c r="N34" i="38"/>
  <c r="O34" i="38" s="1"/>
  <c r="N49" i="45"/>
  <c r="I5" i="39" s="1"/>
  <c r="P49" i="45"/>
  <c r="I8" i="39" s="1"/>
  <c r="Q49" i="45"/>
  <c r="D4" i="39" s="1"/>
  <c r="T49" i="45"/>
  <c r="D7" i="39" s="1"/>
  <c r="S49" i="45"/>
  <c r="D5" i="39" s="1"/>
  <c r="O49" i="45"/>
  <c r="I6" i="39" s="1"/>
  <c r="L49" i="45"/>
  <c r="I3" i="39" s="1"/>
  <c r="M49" i="45"/>
  <c r="I4" i="39" s="1"/>
  <c r="V49" i="45"/>
  <c r="D8" i="39" s="1"/>
  <c r="R49" i="45"/>
  <c r="D6" i="39" s="1"/>
  <c r="U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C22" i="10"/>
  <c r="C21" i="10"/>
  <c r="D23" i="10"/>
  <c r="D21" i="10"/>
  <c r="D20" i="10"/>
  <c r="C24" i="10"/>
  <c r="C23" i="10"/>
  <c r="C20" i="10"/>
  <c r="L58" i="33" l="1"/>
  <c r="I57" i="33"/>
  <c r="G47" i="33"/>
  <c r="D23" i="74"/>
  <c r="M23" i="74" s="1"/>
  <c r="N23" i="74" s="1"/>
  <c r="C104" i="9"/>
  <c r="S43" i="72"/>
  <c r="M43" i="72"/>
  <c r="Q43" i="72"/>
  <c r="N43" i="72"/>
  <c r="L43" i="72"/>
  <c r="R43" i="72"/>
  <c r="T43" i="72"/>
  <c r="P43" i="72"/>
  <c r="O43" i="72"/>
  <c r="S44" i="72"/>
  <c r="M44" i="72"/>
  <c r="R44" i="72"/>
  <c r="O44" i="72"/>
  <c r="L44" i="72"/>
  <c r="T44" i="72"/>
  <c r="Q44" i="72"/>
  <c r="P44" i="72"/>
  <c r="N44" i="72"/>
  <c r="M15" i="74"/>
  <c r="M14" i="74"/>
  <c r="M10" i="74"/>
  <c r="M9" i="74"/>
  <c r="M23" i="36"/>
  <c r="N23" i="36" s="1"/>
  <c r="N13" i="36"/>
  <c r="M9" i="36"/>
  <c r="K45" i="72"/>
  <c r="M38" i="72"/>
  <c r="Q42" i="72"/>
  <c r="M13" i="36"/>
  <c r="M12" i="36"/>
  <c r="U37" i="72"/>
  <c r="M8" i="36"/>
  <c r="O40" i="72"/>
  <c r="M11" i="36"/>
  <c r="N39" i="72"/>
  <c r="M10" i="36"/>
  <c r="E48" i="39"/>
  <c r="F48" i="39" s="1"/>
  <c r="B104" i="45"/>
  <c r="U39" i="72"/>
  <c r="E56" i="39"/>
  <c r="K41" i="45"/>
  <c r="E53" i="39"/>
  <c r="U40" i="72"/>
  <c r="L37" i="72"/>
  <c r="E54" i="39"/>
  <c r="I52" i="39"/>
  <c r="K42" i="45"/>
  <c r="K37" i="45"/>
  <c r="K40" i="45"/>
  <c r="I53" i="39"/>
  <c r="V50" i="72"/>
  <c r="S35" i="72"/>
  <c r="K35" i="45"/>
  <c r="S35" i="45" s="1"/>
  <c r="V35" i="45"/>
  <c r="V50" i="45" s="1"/>
  <c r="C8" i="39" s="1"/>
  <c r="K44" i="45"/>
  <c r="I59" i="39"/>
  <c r="J59" i="39" s="1"/>
  <c r="K43" i="45"/>
  <c r="G58" i="39"/>
  <c r="H58" i="39" s="1"/>
  <c r="N10" i="38"/>
  <c r="O10" i="38" s="1"/>
  <c r="E57" i="39"/>
  <c r="E55" i="39"/>
  <c r="U39" i="45"/>
  <c r="N39" i="45"/>
  <c r="M38" i="45"/>
  <c r="I10" i="10"/>
  <c r="I11" i="10"/>
  <c r="I12" i="10"/>
  <c r="I13" i="10"/>
  <c r="I14" i="10"/>
  <c r="I15" i="10"/>
  <c r="I16" i="10"/>
  <c r="I17" i="10"/>
  <c r="I18" i="10"/>
  <c r="I9" i="10"/>
  <c r="G6" i="5"/>
  <c r="N12" i="36" l="1"/>
  <c r="N8" i="36"/>
  <c r="N11" i="36"/>
  <c r="N9" i="36"/>
  <c r="N10" i="36"/>
  <c r="A23" i="74"/>
  <c r="N15" i="74"/>
  <c r="C114" i="9" s="1"/>
  <c r="L50" i="72"/>
  <c r="H3" i="73" s="1"/>
  <c r="I60" i="73"/>
  <c r="G60" i="73"/>
  <c r="P50" i="72"/>
  <c r="O50" i="72"/>
  <c r="H6" i="73" s="1"/>
  <c r="N50" i="72"/>
  <c r="H5" i="73" s="1"/>
  <c r="M50" i="72"/>
  <c r="H4" i="73" s="1"/>
  <c r="S50" i="72"/>
  <c r="C5" i="73" s="1"/>
  <c r="Q50" i="72"/>
  <c r="C4" i="73" s="1"/>
  <c r="N14" i="74"/>
  <c r="B113" i="45" s="1"/>
  <c r="N9" i="74"/>
  <c r="N10" i="74"/>
  <c r="M13" i="74"/>
  <c r="U40" i="45"/>
  <c r="M11" i="74"/>
  <c r="M8" i="74"/>
  <c r="M12" i="74"/>
  <c r="M16" i="36"/>
  <c r="N16" i="36" s="1"/>
  <c r="K50" i="72"/>
  <c r="C3" i="73" s="1"/>
  <c r="R45" i="72"/>
  <c r="R50" i="72" s="1"/>
  <c r="C6" i="73" s="1"/>
  <c r="E60" i="73"/>
  <c r="U50" i="72"/>
  <c r="H7" i="73" s="1"/>
  <c r="Q42" i="45"/>
  <c r="U37" i="45"/>
  <c r="V47" i="72"/>
  <c r="E8" i="73" s="1"/>
  <c r="H68" i="33" s="1"/>
  <c r="C8" i="73"/>
  <c r="D68" i="33" s="1"/>
  <c r="L37" i="45"/>
  <c r="O40" i="45"/>
  <c r="K45" i="45"/>
  <c r="S44" i="45"/>
  <c r="P44" i="45"/>
  <c r="T44" i="45"/>
  <c r="N44" i="45"/>
  <c r="M44" i="45"/>
  <c r="O44" i="45"/>
  <c r="Q44" i="45"/>
  <c r="L44" i="45"/>
  <c r="R44" i="45"/>
  <c r="S43" i="45"/>
  <c r="Q43" i="45"/>
  <c r="T43" i="45"/>
  <c r="R43" i="45"/>
  <c r="O43" i="45"/>
  <c r="L43" i="45"/>
  <c r="M43" i="45"/>
  <c r="P43" i="45"/>
  <c r="N43" i="45"/>
  <c r="V47" i="45"/>
  <c r="E8" i="39" s="1"/>
  <c r="N10" i="20"/>
  <c r="N11" i="20"/>
  <c r="N12" i="20"/>
  <c r="N13" i="20"/>
  <c r="N14" i="20"/>
  <c r="N15" i="20"/>
  <c r="N16" i="20"/>
  <c r="N17" i="20"/>
  <c r="N9" i="20"/>
  <c r="H8" i="73" l="1"/>
  <c r="M68" i="33" s="1"/>
  <c r="D66" i="33"/>
  <c r="M66" i="33"/>
  <c r="M63" i="33"/>
  <c r="D63" i="33"/>
  <c r="M64" i="33"/>
  <c r="D65" i="33"/>
  <c r="M67" i="33"/>
  <c r="M65" i="33"/>
  <c r="B108" i="45"/>
  <c r="B109" i="45"/>
  <c r="J60" i="73"/>
  <c r="L59" i="33" s="1"/>
  <c r="H60" i="73"/>
  <c r="I59" i="33" s="1"/>
  <c r="B114" i="45"/>
  <c r="C113" i="9"/>
  <c r="C109" i="9"/>
  <c r="N13" i="74"/>
  <c r="C108" i="9"/>
  <c r="Q47" i="72"/>
  <c r="E4" i="73" s="1"/>
  <c r="D64" i="33"/>
  <c r="L47" i="72"/>
  <c r="J3" i="73" s="1"/>
  <c r="P47" i="72"/>
  <c r="O47" i="72"/>
  <c r="J6" i="73" s="1"/>
  <c r="S47" i="72"/>
  <c r="E5" i="73" s="1"/>
  <c r="M47" i="72"/>
  <c r="J4" i="73" s="1"/>
  <c r="N47" i="72"/>
  <c r="J5" i="73" s="1"/>
  <c r="K47" i="72"/>
  <c r="N8" i="74"/>
  <c r="N11" i="74"/>
  <c r="N12" i="74"/>
  <c r="U50" i="45"/>
  <c r="H7" i="39" s="1"/>
  <c r="I60" i="39"/>
  <c r="J60" i="39" s="1"/>
  <c r="M16" i="74"/>
  <c r="E28" i="73"/>
  <c r="R47" i="72"/>
  <c r="E6" i="73" s="1"/>
  <c r="T50" i="72"/>
  <c r="C7" i="73" s="1"/>
  <c r="B111" i="72"/>
  <c r="B113" i="72"/>
  <c r="B112" i="72"/>
  <c r="B109" i="72"/>
  <c r="B108" i="72"/>
  <c r="B107" i="72"/>
  <c r="B114" i="72"/>
  <c r="B110" i="72"/>
  <c r="U47" i="72"/>
  <c r="J7" i="73" s="1"/>
  <c r="Q50" i="45"/>
  <c r="C4" i="39" s="1"/>
  <c r="G60" i="39"/>
  <c r="H60" i="39" s="1"/>
  <c r="E60" i="39"/>
  <c r="F60" i="39" s="1"/>
  <c r="K50" i="45"/>
  <c r="C3" i="39" s="1"/>
  <c r="R45" i="45"/>
  <c r="R50" i="45" s="1"/>
  <c r="C6" i="39" s="1"/>
  <c r="O50" i="45"/>
  <c r="H6" i="39" s="1"/>
  <c r="M50" i="45"/>
  <c r="H4" i="39" s="1"/>
  <c r="P50" i="45"/>
  <c r="H8" i="39" s="1"/>
  <c r="L50" i="45"/>
  <c r="H3" i="39" s="1"/>
  <c r="N50" i="45"/>
  <c r="H5" i="39" s="1"/>
  <c r="S50" i="45"/>
  <c r="C5" i="39" s="1"/>
  <c r="D13" i="24"/>
  <c r="D9" i="24"/>
  <c r="J8" i="73" l="1"/>
  <c r="Q68" i="33" s="1"/>
  <c r="E3" i="73"/>
  <c r="H63" i="33" s="1"/>
  <c r="E18" i="73"/>
  <c r="F13" i="33" s="1"/>
  <c r="H66" i="33"/>
  <c r="Q66" i="33"/>
  <c r="Q65" i="33"/>
  <c r="Q67" i="33"/>
  <c r="Q64" i="33"/>
  <c r="Q63" i="33"/>
  <c r="H64" i="33"/>
  <c r="H65" i="33"/>
  <c r="B111" i="45"/>
  <c r="C112" i="9"/>
  <c r="B107" i="45"/>
  <c r="B110" i="45"/>
  <c r="J13" i="33"/>
  <c r="B86" i="72"/>
  <c r="G30" i="33"/>
  <c r="C110" i="9"/>
  <c r="C107" i="9"/>
  <c r="B112" i="45"/>
  <c r="C111" i="9"/>
  <c r="T47" i="72"/>
  <c r="E7" i="73" s="1"/>
  <c r="D67" i="33"/>
  <c r="Q47" i="45"/>
  <c r="E4" i="39" s="1"/>
  <c r="U47" i="45"/>
  <c r="J7" i="39" s="1"/>
  <c r="N16" i="74"/>
  <c r="M17" i="74" s="1"/>
  <c r="H5" i="36"/>
  <c r="C147" i="9"/>
  <c r="F60" i="73"/>
  <c r="F59" i="33" s="1"/>
  <c r="B1" i="73"/>
  <c r="E28" i="39"/>
  <c r="B1" i="39"/>
  <c r="K47" i="45"/>
  <c r="L47" i="45"/>
  <c r="J3" i="39" s="1"/>
  <c r="O47" i="45"/>
  <c r="J6" i="39" s="1"/>
  <c r="C123" i="9"/>
  <c r="M47" i="45"/>
  <c r="J4" i="39" s="1"/>
  <c r="P47" i="45"/>
  <c r="J8" i="39" s="1"/>
  <c r="N47" i="45"/>
  <c r="J5" i="39" s="1"/>
  <c r="R47" i="45"/>
  <c r="E6" i="39" s="1"/>
  <c r="S47" i="45"/>
  <c r="E5" i="39" s="1"/>
  <c r="T50" i="45"/>
  <c r="C7" i="39" s="1"/>
  <c r="E3" i="39" l="1"/>
  <c r="E18" i="39"/>
  <c r="H67" i="33"/>
  <c r="B73" i="72"/>
  <c r="N17" i="74"/>
  <c r="C115" i="9"/>
  <c r="H5" i="74"/>
  <c r="B86" i="45"/>
  <c r="B115" i="45"/>
  <c r="B115" i="72"/>
  <c r="C151" i="9"/>
  <c r="C144" i="9"/>
  <c r="M17" i="36"/>
  <c r="C150" i="9"/>
  <c r="C149" i="9"/>
  <c r="C143" i="9"/>
  <c r="T47" i="45"/>
  <c r="E7" i="39" s="1"/>
  <c r="S11" i="11"/>
  <c r="O11" i="11"/>
  <c r="N11" i="11"/>
  <c r="N17" i="36" l="1"/>
  <c r="A8" i="36"/>
  <c r="C152" i="9"/>
  <c r="A8" i="74"/>
  <c r="C148" i="9"/>
  <c r="B73" i="45"/>
  <c r="C142" i="9"/>
  <c r="C153" i="9"/>
  <c r="C145" i="9"/>
  <c r="P11" i="11"/>
  <c r="Q11" i="11"/>
  <c r="O9" i="12"/>
  <c r="O10" i="12"/>
  <c r="O11" i="12"/>
  <c r="O13" i="12"/>
  <c r="O14" i="12"/>
  <c r="O15" i="12"/>
  <c r="O16" i="12"/>
  <c r="O17" i="12"/>
  <c r="S12" i="11"/>
  <c r="N16" i="11"/>
  <c r="O16" i="11"/>
  <c r="B106" i="72" l="1"/>
  <c r="B105" i="72"/>
  <c r="C106" i="9"/>
  <c r="B106" i="45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R12" i="12"/>
  <c r="P13" i="12"/>
  <c r="Q13" i="12"/>
  <c r="R13" i="12"/>
  <c r="L14" i="12"/>
  <c r="N14" i="12"/>
  <c r="P14" i="12"/>
  <c r="Q14" i="12"/>
  <c r="R14" i="12"/>
  <c r="L15" i="12"/>
  <c r="N15" i="12"/>
  <c r="P15" i="12"/>
  <c r="Q15" i="12"/>
  <c r="R15" i="12"/>
  <c r="L16" i="12"/>
  <c r="N16" i="12"/>
  <c r="P16" i="12"/>
  <c r="Q16" i="12"/>
  <c r="R16" i="12"/>
  <c r="L17" i="12"/>
  <c r="N17" i="12"/>
  <c r="P17" i="12"/>
  <c r="Q17" i="12"/>
  <c r="R17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K18" i="10"/>
  <c r="K17" i="10"/>
  <c r="K16" i="10"/>
  <c r="K15" i="10"/>
  <c r="K14" i="10"/>
  <c r="K13" i="10"/>
  <c r="K12" i="10"/>
  <c r="K11" i="10"/>
  <c r="K10" i="10"/>
  <c r="K9" i="10"/>
  <c r="C18" i="10"/>
  <c r="C17" i="10"/>
  <c r="C16" i="10"/>
  <c r="C15" i="10"/>
  <c r="C14" i="10"/>
  <c r="C13" i="10"/>
  <c r="C12" i="10"/>
  <c r="C11" i="10"/>
  <c r="C10" i="10"/>
  <c r="C9" i="10"/>
  <c r="S16" i="11" l="1"/>
  <c r="AB17" i="10"/>
  <c r="K8" i="12"/>
  <c r="Q8" i="12" s="1"/>
  <c r="K12" i="12"/>
  <c r="L12" i="12" s="1"/>
  <c r="AB11" i="10"/>
  <c r="AB15" i="10"/>
  <c r="AB13" i="10"/>
  <c r="K10" i="12"/>
  <c r="AB9" i="10"/>
  <c r="G10" i="10"/>
  <c r="P18" i="12"/>
  <c r="K11" i="12"/>
  <c r="M11" i="12" s="1"/>
  <c r="K9" i="12"/>
  <c r="N9" i="12" s="1"/>
  <c r="K7" i="12"/>
  <c r="K6" i="12"/>
  <c r="O6" i="12" s="1"/>
  <c r="K5" i="12"/>
  <c r="L5" i="12" s="1"/>
  <c r="K4" i="12"/>
  <c r="K3" i="12"/>
  <c r="G16" i="10"/>
  <c r="G14" i="10"/>
  <c r="G18" i="10"/>
  <c r="G12" i="10"/>
  <c r="G11" i="10"/>
  <c r="G15" i="10"/>
  <c r="G13" i="10"/>
  <c r="G17" i="10"/>
  <c r="AB10" i="10"/>
  <c r="AB12" i="10"/>
  <c r="AB14" i="10"/>
  <c r="AB16" i="10"/>
  <c r="AB18" i="10"/>
  <c r="P5" i="11"/>
  <c r="Q5" i="11"/>
  <c r="P6" i="11"/>
  <c r="Q6" i="11"/>
  <c r="S6" i="11" s="1"/>
  <c r="P7" i="11"/>
  <c r="Q7" i="11"/>
  <c r="P8" i="11"/>
  <c r="Q8" i="11"/>
  <c r="P9" i="11"/>
  <c r="Q9" i="11"/>
  <c r="P10" i="11"/>
  <c r="Q10" i="11"/>
  <c r="P12" i="11"/>
  <c r="Q12" i="11"/>
  <c r="P13" i="11"/>
  <c r="Q13" i="11"/>
  <c r="P14" i="11"/>
  <c r="Q14" i="11"/>
  <c r="P15" i="11"/>
  <c r="Q15" i="11"/>
  <c r="P17" i="11"/>
  <c r="Q17" i="11"/>
  <c r="P18" i="11"/>
  <c r="Q18" i="11"/>
  <c r="P19" i="11"/>
  <c r="Q19" i="11"/>
  <c r="P20" i="11"/>
  <c r="Q20" i="11"/>
  <c r="P21" i="11"/>
  <c r="Q21" i="11"/>
  <c r="P22" i="11"/>
  <c r="Q22" i="11"/>
  <c r="P23" i="11"/>
  <c r="Q23" i="11"/>
  <c r="P24" i="11"/>
  <c r="Q24" i="11"/>
  <c r="P25" i="11"/>
  <c r="Q25" i="11"/>
  <c r="P26" i="11"/>
  <c r="Q26" i="11"/>
  <c r="P27" i="11"/>
  <c r="Q27" i="11"/>
  <c r="P28" i="11"/>
  <c r="Q28" i="11"/>
  <c r="P29" i="11"/>
  <c r="Q29" i="11"/>
  <c r="P30" i="11"/>
  <c r="Q30" i="11"/>
  <c r="P31" i="11"/>
  <c r="Q31" i="11"/>
  <c r="P32" i="11"/>
  <c r="Q32" i="11"/>
  <c r="P33" i="11"/>
  <c r="Q33" i="11"/>
  <c r="P34" i="11"/>
  <c r="Q34" i="11"/>
  <c r="S34" i="11" l="1"/>
  <c r="S32" i="11"/>
  <c r="S30" i="11"/>
  <c r="S28" i="11"/>
  <c r="S26" i="11"/>
  <c r="S24" i="11"/>
  <c r="S22" i="11"/>
  <c r="S20" i="11"/>
  <c r="S18" i="11"/>
  <c r="S15" i="11"/>
  <c r="S13" i="11"/>
  <c r="S10" i="11"/>
  <c r="S8" i="11"/>
  <c r="S33" i="11"/>
  <c r="S31" i="11"/>
  <c r="S29" i="11"/>
  <c r="S27" i="11"/>
  <c r="S25" i="11"/>
  <c r="S23" i="11"/>
  <c r="S21" i="11"/>
  <c r="S19" i="11"/>
  <c r="S17" i="11"/>
  <c r="S14" i="11"/>
  <c r="S9" i="11"/>
  <c r="S7" i="11"/>
  <c r="S5" i="11"/>
  <c r="Q4" i="11"/>
  <c r="G4" i="12"/>
  <c r="G8" i="12"/>
  <c r="G12" i="12"/>
  <c r="G5" i="12"/>
  <c r="G9" i="12"/>
  <c r="G3" i="12"/>
  <c r="G6" i="12"/>
  <c r="G10" i="12"/>
  <c r="G7" i="12"/>
  <c r="G11" i="12"/>
  <c r="F6" i="12"/>
  <c r="D12" i="10" s="1"/>
  <c r="F10" i="12"/>
  <c r="D16" i="10" s="1"/>
  <c r="F9" i="12"/>
  <c r="D15" i="10" s="1"/>
  <c r="F7" i="12"/>
  <c r="D13" i="10" s="1"/>
  <c r="F11" i="12"/>
  <c r="D17" i="10" s="1"/>
  <c r="F5" i="12"/>
  <c r="D11" i="10" s="1"/>
  <c r="F4" i="12"/>
  <c r="D10" i="10" s="1"/>
  <c r="F8" i="12"/>
  <c r="D14" i="10" s="1"/>
  <c r="F12" i="12"/>
  <c r="D18" i="10" s="1"/>
  <c r="P4" i="11"/>
  <c r="F3" i="12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M3" i="12"/>
  <c r="N3" i="12"/>
  <c r="N4" i="12"/>
  <c r="M4" i="12"/>
  <c r="S4" i="11" l="1"/>
  <c r="H3" i="12"/>
  <c r="H9" i="10" s="1"/>
  <c r="E9" i="10"/>
  <c r="H12" i="10"/>
  <c r="E12" i="10"/>
  <c r="H18" i="10"/>
  <c r="E18" i="10"/>
  <c r="H17" i="10"/>
  <c r="E17" i="10"/>
  <c r="H14" i="10"/>
  <c r="E14" i="10"/>
  <c r="H13" i="10"/>
  <c r="E13" i="10"/>
  <c r="H15" i="10"/>
  <c r="E15" i="10"/>
  <c r="H10" i="10"/>
  <c r="E10" i="10"/>
  <c r="H16" i="10"/>
  <c r="E16" i="10"/>
  <c r="H11" i="10"/>
  <c r="E11" i="10"/>
  <c r="D9" i="10"/>
  <c r="R18" i="12"/>
  <c r="Q18" i="12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" i="14"/>
  <c r="F100" i="5" l="1"/>
  <c r="F99" i="5"/>
  <c r="D99" i="5"/>
  <c r="F35" i="5"/>
  <c r="F34" i="5"/>
  <c r="D34" i="5"/>
  <c r="F3" i="5"/>
  <c r="F2" i="5"/>
  <c r="C1" i="9" s="1"/>
  <c r="D2" i="5"/>
  <c r="D35" i="5" l="1"/>
  <c r="D100" i="5"/>
  <c r="Y3" i="14"/>
  <c r="AB3" i="14"/>
  <c r="Y4" i="14"/>
  <c r="AB4" i="14"/>
  <c r="Y5" i="14"/>
  <c r="AB5" i="14"/>
  <c r="Y6" i="14"/>
  <c r="AB6" i="14"/>
  <c r="Y7" i="14"/>
  <c r="AB7" i="14"/>
  <c r="Y8" i="14"/>
  <c r="AB8" i="14"/>
  <c r="Y9" i="14"/>
  <c r="AB9" i="14"/>
  <c r="Y10" i="14"/>
  <c r="AB10" i="14"/>
  <c r="Y11" i="14"/>
  <c r="AB11" i="14"/>
  <c r="Y12" i="14"/>
  <c r="AB12" i="14"/>
  <c r="Y13" i="14"/>
  <c r="AB13" i="14"/>
  <c r="Y14" i="14"/>
  <c r="AB14" i="14"/>
  <c r="Y15" i="14"/>
  <c r="AB15" i="14"/>
  <c r="Y16" i="14"/>
  <c r="AB16" i="14"/>
  <c r="Y17" i="14"/>
  <c r="AB17" i="14"/>
  <c r="Y18" i="14"/>
  <c r="AB18" i="14"/>
  <c r="Y19" i="14"/>
  <c r="AB19" i="14"/>
  <c r="Y20" i="14"/>
  <c r="AB20" i="14"/>
  <c r="Y21" i="14"/>
  <c r="AB21" i="14"/>
  <c r="Y2" i="14"/>
  <c r="E18" i="20" l="1"/>
  <c r="F8" i="21"/>
  <c r="F7" i="21"/>
  <c r="E3" i="21"/>
  <c r="B20" i="28"/>
  <c r="G20" i="28" s="1"/>
  <c r="C4" i="9"/>
  <c r="D32" i="20"/>
  <c r="C71" i="9" s="1"/>
  <c r="D22" i="21"/>
  <c r="D21" i="21"/>
  <c r="E19" i="21"/>
  <c r="F19" i="21" s="1"/>
  <c r="C55" i="5"/>
  <c r="G55" i="5" s="1"/>
  <c r="H3" i="14"/>
  <c r="P3" i="14"/>
  <c r="H4" i="14"/>
  <c r="P4" i="14"/>
  <c r="H5" i="14"/>
  <c r="I12" i="13" s="1"/>
  <c r="H6" i="14"/>
  <c r="I14" i="13" s="1"/>
  <c r="H7" i="14"/>
  <c r="I16" i="13" s="1"/>
  <c r="H8" i="14"/>
  <c r="I18" i="13" s="1"/>
  <c r="H9" i="14"/>
  <c r="I20" i="13" s="1"/>
  <c r="H10" i="14"/>
  <c r="I22" i="13" s="1"/>
  <c r="H11" i="14"/>
  <c r="I24" i="13" s="1"/>
  <c r="H12" i="14"/>
  <c r="H13" i="14"/>
  <c r="H14" i="14"/>
  <c r="H15" i="14"/>
  <c r="H16" i="14"/>
  <c r="I34" i="13" s="1"/>
  <c r="H17" i="14"/>
  <c r="H18" i="14"/>
  <c r="I38" i="13" s="1"/>
  <c r="H19" i="14"/>
  <c r="H20" i="14"/>
  <c r="H21" i="14"/>
  <c r="H2" i="14"/>
  <c r="P2" i="14"/>
  <c r="AC19" i="14"/>
  <c r="C39" i="9" s="1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AB2" i="14"/>
  <c r="D28" i="13"/>
  <c r="D26" i="13"/>
  <c r="D24" i="13"/>
  <c r="D12" i="61"/>
  <c r="D22" i="13"/>
  <c r="D20" i="13"/>
  <c r="D18" i="13"/>
  <c r="D9" i="61"/>
  <c r="D16" i="13"/>
  <c r="D14" i="13"/>
  <c r="D12" i="13"/>
  <c r="D10" i="13"/>
  <c r="D5" i="61"/>
  <c r="D4" i="61"/>
  <c r="D8" i="13"/>
  <c r="D3" i="16"/>
  <c r="L6" i="13"/>
  <c r="D40" i="13"/>
  <c r="L40" i="13"/>
  <c r="D38" i="13"/>
  <c r="L38" i="13"/>
  <c r="D36" i="13"/>
  <c r="L36" i="13"/>
  <c r="D18" i="61"/>
  <c r="D34" i="13"/>
  <c r="D32" i="13"/>
  <c r="D30" i="13"/>
  <c r="C5" i="9"/>
  <c r="C3" i="9"/>
  <c r="C2" i="9"/>
  <c r="L2" i="27"/>
  <c r="M2" i="27" s="1"/>
  <c r="D11" i="21"/>
  <c r="F11" i="21" s="1"/>
  <c r="D9" i="21"/>
  <c r="F9" i="21" s="1"/>
  <c r="D10" i="21"/>
  <c r="E24" i="20" s="1"/>
  <c r="F80" i="5" s="1"/>
  <c r="D80" i="5" s="1"/>
  <c r="L80" i="5" s="1"/>
  <c r="G34" i="32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E12" i="21"/>
  <c r="F12" i="21" s="1"/>
  <c r="H27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16" i="12"/>
  <c r="M16" i="12" s="1"/>
  <c r="K17" i="12"/>
  <c r="M17" i="12" s="1"/>
  <c r="D20" i="5"/>
  <c r="C77" i="9" s="1"/>
  <c r="C22" i="17"/>
  <c r="C27" i="17"/>
  <c r="C29" i="17"/>
  <c r="D12" i="5"/>
  <c r="C65" i="9" s="1"/>
  <c r="C11" i="20"/>
  <c r="C12" i="20"/>
  <c r="C13" i="20"/>
  <c r="D67" i="5"/>
  <c r="C62" i="9" s="1"/>
  <c r="L40" i="5"/>
  <c r="C58" i="9"/>
  <c r="C59" i="9"/>
  <c r="L43" i="5"/>
  <c r="C61" i="9"/>
  <c r="C39" i="5"/>
  <c r="C56" i="9" s="1"/>
  <c r="L157" i="5"/>
  <c r="L42" i="13"/>
  <c r="L44" i="13"/>
  <c r="C21" i="9"/>
  <c r="F10" i="10"/>
  <c r="F11" i="10"/>
  <c r="F12" i="10"/>
  <c r="F13" i="10"/>
  <c r="F14" i="10"/>
  <c r="F15" i="10"/>
  <c r="F16" i="10"/>
  <c r="F17" i="10"/>
  <c r="F18" i="10"/>
  <c r="F20" i="10"/>
  <c r="F9" i="10"/>
  <c r="L3" i="27"/>
  <c r="M3" i="27" s="1"/>
  <c r="L4" i="27"/>
  <c r="M4" i="27" s="1"/>
  <c r="L5" i="27"/>
  <c r="M5" i="27" s="1"/>
  <c r="E71" i="5"/>
  <c r="D13" i="20"/>
  <c r="B3" i="3"/>
  <c r="C3" i="3"/>
  <c r="B2" i="3"/>
  <c r="D14" i="1"/>
  <c r="D22" i="1"/>
  <c r="T19" i="2"/>
  <c r="T27" i="2"/>
  <c r="F105" i="5"/>
  <c r="D92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E35" i="20" s="1"/>
  <c r="E27" i="10" s="1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C15" i="17"/>
  <c r="C4" i="17"/>
  <c r="F3" i="17"/>
  <c r="C3" i="17"/>
  <c r="F2" i="17"/>
  <c r="D15" i="20"/>
  <c r="D4" i="20"/>
  <c r="G3" i="20"/>
  <c r="D3" i="20"/>
  <c r="G2" i="20"/>
  <c r="J26" i="10"/>
  <c r="J27" i="10"/>
  <c r="E4" i="13"/>
  <c r="J3" i="13"/>
  <c r="E3" i="13"/>
  <c r="J2" i="13"/>
  <c r="K6" i="13"/>
  <c r="K8" i="13"/>
  <c r="K10" i="13"/>
  <c r="K12" i="13"/>
  <c r="K14" i="13"/>
  <c r="K16" i="13"/>
  <c r="K18" i="13"/>
  <c r="K20" i="13"/>
  <c r="K22" i="13"/>
  <c r="K24" i="13"/>
  <c r="K26" i="13"/>
  <c r="K28" i="13"/>
  <c r="K30" i="13"/>
  <c r="K32" i="13"/>
  <c r="K34" i="13"/>
  <c r="K36" i="13"/>
  <c r="K38" i="13"/>
  <c r="K40" i="13"/>
  <c r="K42" i="13"/>
  <c r="K44" i="13"/>
  <c r="J6" i="13"/>
  <c r="K7" i="13" s="1"/>
  <c r="J8" i="13"/>
  <c r="J10" i="13"/>
  <c r="J12" i="13"/>
  <c r="J14" i="13"/>
  <c r="J16" i="13"/>
  <c r="J18" i="13"/>
  <c r="J20" i="13"/>
  <c r="J22" i="13"/>
  <c r="J24" i="13"/>
  <c r="K25" i="13" s="1"/>
  <c r="J26" i="13"/>
  <c r="I26" i="13"/>
  <c r="J28" i="13"/>
  <c r="I28" i="13"/>
  <c r="J30" i="13"/>
  <c r="I30" i="13"/>
  <c r="J32" i="13"/>
  <c r="I32" i="13"/>
  <c r="J34" i="13"/>
  <c r="J36" i="13"/>
  <c r="I36" i="13"/>
  <c r="J38" i="13"/>
  <c r="J40" i="13"/>
  <c r="I40" i="13"/>
  <c r="J42" i="13"/>
  <c r="K43" i="13" s="1"/>
  <c r="D42" i="13"/>
  <c r="D7" i="13"/>
  <c r="H7" i="13"/>
  <c r="M7" i="13"/>
  <c r="D45" i="13"/>
  <c r="D43" i="13"/>
  <c r="D41" i="13"/>
  <c r="D39" i="13"/>
  <c r="D37" i="13"/>
  <c r="D35" i="13"/>
  <c r="D33" i="13"/>
  <c r="D31" i="13"/>
  <c r="D29" i="13"/>
  <c r="D27" i="13"/>
  <c r="D21" i="13"/>
  <c r="D19" i="13"/>
  <c r="D17" i="13"/>
  <c r="D15" i="13"/>
  <c r="D13" i="13"/>
  <c r="D11" i="13"/>
  <c r="D9" i="13"/>
  <c r="D44" i="13"/>
  <c r="N45" i="13"/>
  <c r="M45" i="13"/>
  <c r="J44" i="13"/>
  <c r="K45" i="13" s="1"/>
  <c r="H45" i="13"/>
  <c r="N43" i="13"/>
  <c r="M43" i="13"/>
  <c r="H43" i="13"/>
  <c r="N41" i="13"/>
  <c r="M41" i="13"/>
  <c r="H41" i="13"/>
  <c r="N39" i="13"/>
  <c r="M39" i="13"/>
  <c r="H39" i="13"/>
  <c r="N37" i="13"/>
  <c r="M37" i="13"/>
  <c r="H37" i="13"/>
  <c r="B1" i="16"/>
  <c r="F1" i="16"/>
  <c r="D1" i="16"/>
  <c r="AB1" i="16"/>
  <c r="K19" i="10"/>
  <c r="F21" i="10"/>
  <c r="D22" i="10"/>
  <c r="F22" i="10"/>
  <c r="F23" i="10"/>
  <c r="D24" i="10"/>
  <c r="F24" i="10"/>
  <c r="C26" i="10"/>
  <c r="G26" i="10"/>
  <c r="C27" i="10"/>
  <c r="G27" i="10"/>
  <c r="C28" i="10"/>
  <c r="E28" i="10"/>
  <c r="G28" i="10"/>
  <c r="J28" i="10"/>
  <c r="C29" i="10"/>
  <c r="E29" i="10"/>
  <c r="G29" i="10"/>
  <c r="J29" i="10"/>
  <c r="C30" i="10"/>
  <c r="E30" i="10"/>
  <c r="G30" i="10"/>
  <c r="J30" i="10"/>
  <c r="D32" i="10"/>
  <c r="G37" i="30"/>
  <c r="B35" i="30"/>
  <c r="G18" i="30"/>
  <c r="G19" i="30"/>
  <c r="G20" i="30"/>
  <c r="B21" i="30"/>
  <c r="F3" i="30"/>
  <c r="F4" i="30"/>
  <c r="B3" i="30"/>
  <c r="F5" i="30"/>
  <c r="B34" i="28"/>
  <c r="F3" i="28"/>
  <c r="F4" i="28"/>
  <c r="B3" i="28"/>
  <c r="F5" i="28"/>
  <c r="B35" i="31"/>
  <c r="B21" i="31"/>
  <c r="G17" i="31"/>
  <c r="G18" i="31"/>
  <c r="G19" i="31"/>
  <c r="G20" i="31"/>
  <c r="G37" i="31"/>
  <c r="F3" i="31"/>
  <c r="F4" i="31"/>
  <c r="B3" i="31"/>
  <c r="F5" i="31"/>
  <c r="B35" i="29"/>
  <c r="G38" i="29"/>
  <c r="G17" i="29"/>
  <c r="G18" i="29"/>
  <c r="B21" i="29"/>
  <c r="F3" i="29"/>
  <c r="F4" i="29"/>
  <c r="B3" i="29"/>
  <c r="F5" i="29"/>
  <c r="B32" i="32"/>
  <c r="F3" i="32"/>
  <c r="F4" i="32"/>
  <c r="B3" i="32"/>
  <c r="F5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G29" i="28" l="1"/>
  <c r="G27" i="32"/>
  <c r="M11" i="21"/>
  <c r="H26" i="20"/>
  <c r="G26" i="20"/>
  <c r="F18" i="21"/>
  <c r="J8" i="21"/>
  <c r="G30" i="28"/>
  <c r="G28" i="32"/>
  <c r="I12" i="20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I44" i="13"/>
  <c r="I42" i="13"/>
  <c r="G26" i="30"/>
  <c r="F13" i="21"/>
  <c r="D8" i="3"/>
  <c r="D24" i="3"/>
  <c r="E31" i="3"/>
  <c r="D27" i="20"/>
  <c r="E87" i="5" s="1"/>
  <c r="D87" i="5" s="1"/>
  <c r="D10" i="5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E20" i="20"/>
  <c r="D4" i="27"/>
  <c r="D8" i="27"/>
  <c r="D12" i="27"/>
  <c r="D5" i="27"/>
  <c r="D9" i="27"/>
  <c r="D13" i="27"/>
  <c r="D2" i="27"/>
  <c r="D6" i="27"/>
  <c r="D10" i="27"/>
  <c r="D3" i="27"/>
  <c r="D7" i="27"/>
  <c r="D11" i="27"/>
  <c r="H13" i="20"/>
  <c r="F3" i="27"/>
  <c r="F5" i="27"/>
  <c r="F7" i="27"/>
  <c r="F9" i="27"/>
  <c r="F11" i="27"/>
  <c r="F13" i="27"/>
  <c r="F4" i="27"/>
  <c r="F6" i="27"/>
  <c r="F8" i="27"/>
  <c r="F10" i="27"/>
  <c r="F12" i="27"/>
  <c r="F2" i="27"/>
  <c r="H12" i="20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D12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M33" i="13"/>
  <c r="D16" i="61"/>
  <c r="N31" i="13"/>
  <c r="D15" i="61"/>
  <c r="K29" i="13"/>
  <c r="D14" i="61"/>
  <c r="G20" i="16"/>
  <c r="G20" i="61"/>
  <c r="G19" i="16"/>
  <c r="G19" i="61"/>
  <c r="G18" i="16"/>
  <c r="G18" i="61"/>
  <c r="I6" i="13"/>
  <c r="E3" i="61"/>
  <c r="N27" i="13"/>
  <c r="D13" i="61"/>
  <c r="F12" i="61"/>
  <c r="E12" i="61"/>
  <c r="N23" i="13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K37" i="13"/>
  <c r="R2" i="14"/>
  <c r="N7" i="13"/>
  <c r="G24" i="28"/>
  <c r="E29" i="20"/>
  <c r="F89" i="5" s="1"/>
  <c r="D89" i="5" s="1"/>
  <c r="L89" i="5" s="1"/>
  <c r="E30" i="20"/>
  <c r="F90" i="5" s="1"/>
  <c r="D90" i="5" s="1"/>
  <c r="L90" i="5" s="1"/>
  <c r="E26" i="20"/>
  <c r="G16" i="29"/>
  <c r="G15" i="29" s="1"/>
  <c r="F10" i="21"/>
  <c r="G33" i="29" s="1"/>
  <c r="E23" i="20"/>
  <c r="F79" i="5" s="1"/>
  <c r="D79" i="5" s="1"/>
  <c r="L79" i="5" s="1"/>
  <c r="I17" i="20"/>
  <c r="I70" i="5" s="1"/>
  <c r="H70" i="5" s="1"/>
  <c r="G18" i="32"/>
  <c r="G19" i="32" s="1"/>
  <c r="A17" i="32" s="1"/>
  <c r="G16" i="31"/>
  <c r="G16" i="28"/>
  <c r="D11" i="20"/>
  <c r="D8" i="5" s="1"/>
  <c r="S4" i="14"/>
  <c r="E55" i="5"/>
  <c r="R3" i="14"/>
  <c r="C9" i="27"/>
  <c r="C5" i="27"/>
  <c r="C8" i="27"/>
  <c r="C4" i="27"/>
  <c r="C7" i="27"/>
  <c r="C3" i="27"/>
  <c r="C10" i="27"/>
  <c r="C6" i="27"/>
  <c r="C2" i="27"/>
  <c r="K13" i="12"/>
  <c r="L13" i="12" s="1"/>
  <c r="L18" i="12" s="1"/>
  <c r="E20" i="10"/>
  <c r="K15" i="12"/>
  <c r="K14" i="12"/>
  <c r="M14" i="12" s="1"/>
  <c r="I10" i="13"/>
  <c r="AC14" i="10"/>
  <c r="H11" i="20"/>
  <c r="I8" i="13"/>
  <c r="K19" i="13"/>
  <c r="AC18" i="10"/>
  <c r="J15" i="10"/>
  <c r="J57" i="5" s="1"/>
  <c r="E20" i="3"/>
  <c r="D16" i="3"/>
  <c r="D14" i="3"/>
  <c r="D15" i="3"/>
  <c r="D28" i="3"/>
  <c r="E15" i="3"/>
  <c r="G5" i="3"/>
  <c r="D20" i="3"/>
  <c r="E33" i="3"/>
  <c r="D36" i="3"/>
  <c r="D33" i="3"/>
  <c r="E24" i="3"/>
  <c r="E9" i="3"/>
  <c r="D19" i="3"/>
  <c r="D12" i="3"/>
  <c r="E36" i="3"/>
  <c r="D35" i="3"/>
  <c r="E25" i="3"/>
  <c r="E19" i="3"/>
  <c r="E16" i="3"/>
  <c r="E11" i="3"/>
  <c r="E30" i="3"/>
  <c r="D11" i="3"/>
  <c r="E27" i="3"/>
  <c r="D10" i="3"/>
  <c r="C5" i="3"/>
  <c r="M17" i="13"/>
  <c r="K33" i="13"/>
  <c r="G24" i="10"/>
  <c r="B3" i="24"/>
  <c r="H9" i="20"/>
  <c r="N21" i="13"/>
  <c r="M35" i="13"/>
  <c r="H21" i="13"/>
  <c r="H33" i="13"/>
  <c r="C63" i="5"/>
  <c r="G63" i="5" s="1"/>
  <c r="M19" i="13"/>
  <c r="N33" i="13"/>
  <c r="E21" i="20"/>
  <c r="K9" i="13"/>
  <c r="C60" i="9"/>
  <c r="L16" i="13"/>
  <c r="D14" i="16"/>
  <c r="R14" i="16" s="1"/>
  <c r="L158" i="5"/>
  <c r="K13" i="13"/>
  <c r="D12" i="16"/>
  <c r="V12" i="16" s="1"/>
  <c r="L42" i="5"/>
  <c r="E14" i="3"/>
  <c r="D27" i="3"/>
  <c r="D30" i="3"/>
  <c r="L160" i="5"/>
  <c r="N17" i="13"/>
  <c r="H17" i="13"/>
  <c r="H15" i="13"/>
  <c r="N15" i="13"/>
  <c r="K35" i="13"/>
  <c r="L34" i="13"/>
  <c r="H31" i="13"/>
  <c r="K27" i="13"/>
  <c r="AA3" i="16"/>
  <c r="J3" i="16"/>
  <c r="X3" i="16"/>
  <c r="AB3" i="16"/>
  <c r="L3" i="16"/>
  <c r="G23" i="10"/>
  <c r="E22" i="10"/>
  <c r="C62" i="5"/>
  <c r="G62" i="5" s="1"/>
  <c r="AC11" i="10"/>
  <c r="G23" i="32"/>
  <c r="G30" i="30"/>
  <c r="I7" i="21"/>
  <c r="G30" i="29"/>
  <c r="G30" i="31"/>
  <c r="K21" i="13"/>
  <c r="M21" i="13"/>
  <c r="L20" i="13"/>
  <c r="K17" i="13"/>
  <c r="K15" i="13"/>
  <c r="N9" i="13"/>
  <c r="H9" i="13"/>
  <c r="K31" i="13"/>
  <c r="M29" i="13"/>
  <c r="T3" i="16"/>
  <c r="P3" i="16"/>
  <c r="O40" i="13"/>
  <c r="M38" i="13"/>
  <c r="AC15" i="14"/>
  <c r="C35" i="9" s="1"/>
  <c r="E23" i="10"/>
  <c r="B26" i="24"/>
  <c r="C26" i="24" s="1"/>
  <c r="G31" i="29"/>
  <c r="L44" i="5"/>
  <c r="L41" i="5"/>
  <c r="L39" i="5"/>
  <c r="G26" i="31"/>
  <c r="G26" i="29"/>
  <c r="D31" i="3"/>
  <c r="I11" i="20"/>
  <c r="G25" i="31"/>
  <c r="G25" i="30"/>
  <c r="G22" i="32"/>
  <c r="G25" i="29"/>
  <c r="K4" i="21"/>
  <c r="D4" i="21"/>
  <c r="G4" i="21"/>
  <c r="I4" i="21"/>
  <c r="M4" i="21"/>
  <c r="AC14" i="14"/>
  <c r="C34" i="9" s="1"/>
  <c r="L159" i="5"/>
  <c r="K9" i="14"/>
  <c r="H19" i="13"/>
  <c r="N19" i="13"/>
  <c r="K7" i="14"/>
  <c r="L14" i="13"/>
  <c r="M15" i="13"/>
  <c r="M13" i="13"/>
  <c r="H13" i="13"/>
  <c r="N13" i="13"/>
  <c r="L12" i="13"/>
  <c r="K5" i="14"/>
  <c r="K21" i="14"/>
  <c r="M9" i="13"/>
  <c r="K3" i="14"/>
  <c r="K19" i="14"/>
  <c r="K17" i="14"/>
  <c r="H35" i="13"/>
  <c r="N35" i="13"/>
  <c r="K15" i="14"/>
  <c r="H29" i="13"/>
  <c r="N29" i="13"/>
  <c r="L28" i="13"/>
  <c r="K13" i="14"/>
  <c r="M27" i="13"/>
  <c r="H27" i="13"/>
  <c r="K11" i="14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M44" i="13"/>
  <c r="O38" i="13"/>
  <c r="M40" i="13"/>
  <c r="AC18" i="14"/>
  <c r="C38" i="9" s="1"/>
  <c r="M36" i="13"/>
  <c r="O36" i="13"/>
  <c r="E24" i="10"/>
  <c r="G22" i="10"/>
  <c r="E21" i="10"/>
  <c r="G21" i="10"/>
  <c r="J11" i="21"/>
  <c r="I13" i="20"/>
  <c r="G31" i="30"/>
  <c r="G31" i="31"/>
  <c r="C57" i="9"/>
  <c r="J15" i="17"/>
  <c r="E72" i="5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K20" i="14"/>
  <c r="K18" i="14"/>
  <c r="K16" i="14"/>
  <c r="K14" i="14"/>
  <c r="K12" i="14"/>
  <c r="K2" i="14"/>
  <c r="K10" i="14"/>
  <c r="K4" i="14"/>
  <c r="G29" i="32"/>
  <c r="AC10" i="10"/>
  <c r="J10" i="10"/>
  <c r="J52" i="5" s="1"/>
  <c r="J11" i="10"/>
  <c r="J53" i="5" s="1"/>
  <c r="C52" i="5"/>
  <c r="G52" i="5" s="1"/>
  <c r="C53" i="5"/>
  <c r="C56" i="5"/>
  <c r="J9" i="10"/>
  <c r="J51" i="5" s="1"/>
  <c r="G9" i="10"/>
  <c r="J13" i="10"/>
  <c r="C51" i="5"/>
  <c r="J14" i="10"/>
  <c r="C60" i="5"/>
  <c r="B12" i="24"/>
  <c r="C54" i="5"/>
  <c r="J12" i="10"/>
  <c r="L55" i="5"/>
  <c r="J16" i="10"/>
  <c r="C59" i="5"/>
  <c r="C58" i="5"/>
  <c r="J18" i="10"/>
  <c r="J17" i="10"/>
  <c r="G4" i="20"/>
  <c r="J4" i="13"/>
  <c r="K2" i="13"/>
  <c r="F4" i="17"/>
  <c r="C2" i="17"/>
  <c r="D2" i="20"/>
  <c r="A18" i="19"/>
  <c r="E34" i="20" s="1"/>
  <c r="E26" i="10" s="1"/>
  <c r="H2" i="20"/>
  <c r="D5" i="3"/>
  <c r="E2" i="13"/>
  <c r="G2" i="17"/>
  <c r="D3" i="5"/>
  <c r="C61" i="5"/>
  <c r="L10" i="13"/>
  <c r="G5" i="61" s="1"/>
  <c r="D5" i="16"/>
  <c r="K11" i="13"/>
  <c r="N11" i="13"/>
  <c r="H11" i="13"/>
  <c r="D11" i="16"/>
  <c r="L22" i="13"/>
  <c r="G11" i="61" s="1"/>
  <c r="M23" i="13"/>
  <c r="M11" i="13"/>
  <c r="K23" i="13"/>
  <c r="B16" i="24"/>
  <c r="D16" i="24" s="1"/>
  <c r="O42" i="13"/>
  <c r="G21" i="16" s="1"/>
  <c r="M42" i="13"/>
  <c r="C65" i="5"/>
  <c r="D15" i="16"/>
  <c r="L30" i="13"/>
  <c r="G15" i="61" s="1"/>
  <c r="M31" i="13"/>
  <c r="M6" i="13"/>
  <c r="O6" i="13"/>
  <c r="F22" i="21"/>
  <c r="O44" i="13"/>
  <c r="H23" i="13"/>
  <c r="F87" i="5"/>
  <c r="G20" i="10"/>
  <c r="G18" i="21"/>
  <c r="N18" i="21" s="1"/>
  <c r="I11" i="21"/>
  <c r="D9" i="20"/>
  <c r="C9" i="20"/>
  <c r="L32" i="13"/>
  <c r="G16" i="61" s="1"/>
  <c r="D16" i="16"/>
  <c r="L26" i="13"/>
  <c r="G13" i="61" s="1"/>
  <c r="D13" i="16"/>
  <c r="C57" i="5"/>
  <c r="C64" i="5"/>
  <c r="I15" i="17"/>
  <c r="B19" i="24" s="1"/>
  <c r="C19" i="24" s="1"/>
  <c r="D4" i="16"/>
  <c r="L8" i="13"/>
  <c r="F71" i="5"/>
  <c r="D71" i="5" s="1"/>
  <c r="L18" i="13"/>
  <c r="G9" i="61" s="1"/>
  <c r="D9" i="16"/>
  <c r="F3" i="16"/>
  <c r="E3" i="16"/>
  <c r="F21" i="21"/>
  <c r="M24" i="21" l="1"/>
  <c r="B32" i="24" s="1"/>
  <c r="C32" i="24" s="1"/>
  <c r="F81" i="5"/>
  <c r="D81" i="5" s="1"/>
  <c r="L81" i="5" s="1"/>
  <c r="F82" i="5"/>
  <c r="D82" i="5" s="1"/>
  <c r="L82" i="5" s="1"/>
  <c r="F3" i="21"/>
  <c r="M21" i="14"/>
  <c r="AE21" i="14"/>
  <c r="AD21" i="14" s="1"/>
  <c r="M20" i="14"/>
  <c r="AE20" i="14"/>
  <c r="AD20" i="14" s="1"/>
  <c r="AC20" i="14" s="1"/>
  <c r="C40" i="9" s="1"/>
  <c r="AE19" i="14"/>
  <c r="AD19" i="14" s="1"/>
  <c r="M19" i="14"/>
  <c r="AE18" i="14"/>
  <c r="AD18" i="14" s="1"/>
  <c r="M18" i="14"/>
  <c r="M17" i="14"/>
  <c r="AE17" i="14"/>
  <c r="AD17" i="14" s="1"/>
  <c r="AC17" i="14" s="1"/>
  <c r="C37" i="9" s="1"/>
  <c r="M16" i="14"/>
  <c r="AE16" i="14"/>
  <c r="AD16" i="14" s="1"/>
  <c r="AC16" i="14" s="1"/>
  <c r="C36" i="9" s="1"/>
  <c r="AE15" i="14"/>
  <c r="AD15" i="14" s="1"/>
  <c r="M15" i="14"/>
  <c r="AE14" i="14"/>
  <c r="AD14" i="14" s="1"/>
  <c r="M14" i="14"/>
  <c r="M13" i="14"/>
  <c r="AE13" i="14"/>
  <c r="AD13" i="14" s="1"/>
  <c r="AC13" i="14" s="1"/>
  <c r="C33" i="9" s="1"/>
  <c r="M12" i="14"/>
  <c r="AE12" i="14"/>
  <c r="AD12" i="14" s="1"/>
  <c r="AC12" i="14" s="1"/>
  <c r="C32" i="9" s="1"/>
  <c r="C12" i="61"/>
  <c r="AE11" i="14"/>
  <c r="AD11" i="14" s="1"/>
  <c r="AC11" i="14" s="1"/>
  <c r="C31" i="9" s="1"/>
  <c r="M11" i="14"/>
  <c r="AE10" i="14"/>
  <c r="AD10" i="14" s="1"/>
  <c r="AC10" i="14" s="1"/>
  <c r="C30" i="9" s="1"/>
  <c r="M10" i="14"/>
  <c r="M9" i="14"/>
  <c r="AE9" i="14"/>
  <c r="AD9" i="14" s="1"/>
  <c r="M8" i="14"/>
  <c r="AE8" i="14"/>
  <c r="AD8" i="14" s="1"/>
  <c r="AC8" i="14" s="1"/>
  <c r="C28" i="9" s="1"/>
  <c r="C8" i="61"/>
  <c r="AE7" i="14"/>
  <c r="AD7" i="14" s="1"/>
  <c r="AC7" i="14" s="1"/>
  <c r="C27" i="9" s="1"/>
  <c r="M7" i="14"/>
  <c r="C7" i="61"/>
  <c r="AE6" i="14"/>
  <c r="AD6" i="14" s="1"/>
  <c r="AC6" i="14" s="1"/>
  <c r="C26" i="9" s="1"/>
  <c r="M6" i="14"/>
  <c r="M5" i="14"/>
  <c r="AE5" i="14"/>
  <c r="AD5" i="14" s="1"/>
  <c r="C5" i="61"/>
  <c r="M4" i="14"/>
  <c r="AE4" i="14"/>
  <c r="AD4" i="14" s="1"/>
  <c r="C4" i="61"/>
  <c r="AE3" i="14"/>
  <c r="AD3" i="14" s="1"/>
  <c r="M3" i="14"/>
  <c r="AE2" i="14"/>
  <c r="AD2" i="14" s="1"/>
  <c r="M2" i="14"/>
  <c r="G14" i="28"/>
  <c r="G15" i="28"/>
  <c r="F75" i="5" s="1"/>
  <c r="D75" i="5" s="1"/>
  <c r="L75" i="5" s="1"/>
  <c r="R33" i="14"/>
  <c r="B20" i="24" s="1"/>
  <c r="C20" i="24" s="1"/>
  <c r="G13" i="31"/>
  <c r="S33" i="14"/>
  <c r="G14" i="30"/>
  <c r="G22" i="61"/>
  <c r="G32" i="16"/>
  <c r="G22" i="16"/>
  <c r="H25" i="13"/>
  <c r="N25" i="13"/>
  <c r="O24" i="13"/>
  <c r="M25" i="13"/>
  <c r="M24" i="13"/>
  <c r="L24" i="13"/>
  <c r="G12" i="61" s="1"/>
  <c r="AC21" i="14"/>
  <c r="C41" i="9" s="1"/>
  <c r="G21" i="61"/>
  <c r="D7" i="3"/>
  <c r="D23" i="3"/>
  <c r="C19" i="61"/>
  <c r="J39" i="13"/>
  <c r="C19" i="16"/>
  <c r="C14" i="61"/>
  <c r="J29" i="13"/>
  <c r="C14" i="16"/>
  <c r="C13" i="61"/>
  <c r="C13" i="16"/>
  <c r="J27" i="13"/>
  <c r="R19" i="16"/>
  <c r="C21" i="61"/>
  <c r="J43" i="13"/>
  <c r="C21" i="16"/>
  <c r="G13" i="27"/>
  <c r="B41" i="24" s="1"/>
  <c r="C41" i="24" s="1"/>
  <c r="G12" i="27"/>
  <c r="B39" i="24" s="1"/>
  <c r="C39" i="24" s="1"/>
  <c r="G11" i="27"/>
  <c r="B37" i="24" s="1"/>
  <c r="C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M28" i="13"/>
  <c r="G14" i="61"/>
  <c r="E13" i="61"/>
  <c r="F13" i="61"/>
  <c r="F11" i="61"/>
  <c r="E11" i="61"/>
  <c r="E10" i="61"/>
  <c r="F10" i="61"/>
  <c r="G10" i="16"/>
  <c r="G10" i="61"/>
  <c r="M16" i="13"/>
  <c r="G8" i="61"/>
  <c r="F8" i="61"/>
  <c r="E8" i="61"/>
  <c r="E7" i="61"/>
  <c r="F7" i="61"/>
  <c r="M14" i="13"/>
  <c r="G7" i="61"/>
  <c r="F6" i="61"/>
  <c r="E6" i="61"/>
  <c r="O12" i="13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G64" i="5"/>
  <c r="C19" i="9"/>
  <c r="C23" i="3"/>
  <c r="G61" i="5"/>
  <c r="E63" i="5"/>
  <c r="E65" i="5"/>
  <c r="G65" i="5"/>
  <c r="E62" i="5"/>
  <c r="G33" i="31"/>
  <c r="E64" i="5"/>
  <c r="E61" i="5"/>
  <c r="G33" i="30"/>
  <c r="G30" i="32"/>
  <c r="G32" i="28"/>
  <c r="L10" i="21"/>
  <c r="L24" i="21" s="1"/>
  <c r="B35" i="24" s="1"/>
  <c r="C35" i="24" s="1"/>
  <c r="G14" i="29"/>
  <c r="J22" i="21"/>
  <c r="J21" i="20"/>
  <c r="J73" i="5" s="1"/>
  <c r="H73" i="5" s="1"/>
  <c r="I21" i="21"/>
  <c r="J20" i="20"/>
  <c r="J72" i="5" s="1"/>
  <c r="H72" i="5" s="1"/>
  <c r="L72" i="5" s="1"/>
  <c r="J17" i="20"/>
  <c r="J70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36" i="30"/>
  <c r="G33" i="32"/>
  <c r="G36" i="31"/>
  <c r="G37" i="29"/>
  <c r="G2" i="27"/>
  <c r="G7" i="27"/>
  <c r="B24" i="24" s="1"/>
  <c r="C24" i="24" s="1"/>
  <c r="G9" i="27"/>
  <c r="B31" i="24" s="1"/>
  <c r="G6" i="27"/>
  <c r="B18" i="24" s="1"/>
  <c r="C18" i="24" s="1"/>
  <c r="G5" i="27"/>
  <c r="B14" i="24" s="1"/>
  <c r="C14" i="24" s="1"/>
  <c r="G10" i="27"/>
  <c r="B34" i="24" s="1"/>
  <c r="C34" i="24" s="1"/>
  <c r="G8" i="27"/>
  <c r="B28" i="24" s="1"/>
  <c r="C28" i="24" s="1"/>
  <c r="G4" i="27"/>
  <c r="B6" i="24" s="1"/>
  <c r="G3" i="27"/>
  <c r="B10" i="24" s="1"/>
  <c r="B9" i="24" s="1"/>
  <c r="J22" i="10"/>
  <c r="J63" i="5" s="1"/>
  <c r="M15" i="12"/>
  <c r="N13" i="12"/>
  <c r="O18" i="12" s="1"/>
  <c r="M13" i="12"/>
  <c r="K18" i="12"/>
  <c r="J21" i="10"/>
  <c r="J62" i="5" s="1"/>
  <c r="J24" i="10"/>
  <c r="J65" i="5" s="1"/>
  <c r="J23" i="10"/>
  <c r="J64" i="5" s="1"/>
  <c r="J20" i="10"/>
  <c r="J61" i="5" s="1"/>
  <c r="AD14" i="10"/>
  <c r="L161" i="5"/>
  <c r="AC12" i="10"/>
  <c r="AD12" i="10" s="1"/>
  <c r="AD11" i="10"/>
  <c r="AD18" i="10"/>
  <c r="AC9" i="14"/>
  <c r="C29" i="9" s="1"/>
  <c r="AC5" i="14"/>
  <c r="C25" i="9" s="1"/>
  <c r="J17" i="13"/>
  <c r="C8" i="16"/>
  <c r="C7" i="16"/>
  <c r="J15" i="13"/>
  <c r="C12" i="16"/>
  <c r="J25" i="13"/>
  <c r="AC2" i="14"/>
  <c r="C22" i="9" s="1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O16" i="13"/>
  <c r="G8" i="16"/>
  <c r="AD10" i="10"/>
  <c r="G35" i="28"/>
  <c r="G36" i="29"/>
  <c r="J11" i="13"/>
  <c r="C5" i="16"/>
  <c r="C4" i="16"/>
  <c r="J9" i="13"/>
  <c r="Z12" i="16"/>
  <c r="J12" i="16"/>
  <c r="P12" i="16"/>
  <c r="AC9" i="10"/>
  <c r="AD9" i="10" s="1"/>
  <c r="T12" i="16"/>
  <c r="V14" i="16"/>
  <c r="K24" i="21"/>
  <c r="B29" i="24" s="1"/>
  <c r="C29" i="24" s="1"/>
  <c r="M34" i="13"/>
  <c r="AC12" i="16"/>
  <c r="AB12" i="16"/>
  <c r="N12" i="16"/>
  <c r="AD12" i="16"/>
  <c r="L12" i="16"/>
  <c r="O34" i="13"/>
  <c r="G6" i="16"/>
  <c r="M12" i="13"/>
  <c r="M20" i="13"/>
  <c r="O20" i="13"/>
  <c r="G7" i="16"/>
  <c r="O14" i="13"/>
  <c r="C6" i="61"/>
  <c r="C18" i="61"/>
  <c r="H8" i="5"/>
  <c r="H10" i="5"/>
  <c r="H9" i="5"/>
  <c r="C10" i="61"/>
  <c r="G14" i="16"/>
  <c r="O28" i="13"/>
  <c r="F20" i="21"/>
  <c r="J20" i="21" s="1"/>
  <c r="C3" i="61"/>
  <c r="C9" i="61"/>
  <c r="L53" i="5"/>
  <c r="L56" i="5"/>
  <c r="J54" i="5"/>
  <c r="J58" i="5"/>
  <c r="L51" i="5"/>
  <c r="J55" i="5"/>
  <c r="C10" i="9" s="1"/>
  <c r="J56" i="5"/>
  <c r="L60" i="5"/>
  <c r="L54" i="5"/>
  <c r="J60" i="5"/>
  <c r="L58" i="5"/>
  <c r="AC17" i="10"/>
  <c r="AD17" i="10" s="1"/>
  <c r="AC16" i="10"/>
  <c r="AD16" i="10" s="1"/>
  <c r="L59" i="5"/>
  <c r="J59" i="5"/>
  <c r="E2" i="3"/>
  <c r="G16" i="16"/>
  <c r="M32" i="13"/>
  <c r="O32" i="13"/>
  <c r="O10" i="13"/>
  <c r="M10" i="13"/>
  <c r="G7" i="5"/>
  <c r="C7" i="5" s="1"/>
  <c r="C64" i="9" s="1"/>
  <c r="G9" i="20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E28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O30" i="13"/>
  <c r="M30" i="13"/>
  <c r="G11" i="16"/>
  <c r="O22" i="13"/>
  <c r="M22" i="13"/>
  <c r="L64" i="5"/>
  <c r="L65" i="5"/>
  <c r="L61" i="5"/>
  <c r="AC13" i="10"/>
  <c r="AD13" i="10" s="1"/>
  <c r="AC15" i="10"/>
  <c r="AD15" i="10" s="1"/>
  <c r="E85" i="5"/>
  <c r="O8" i="13"/>
  <c r="M8" i="13"/>
  <c r="O18" i="13"/>
  <c r="M18" i="13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O26" i="13"/>
  <c r="M26" i="13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F24" i="21" l="1"/>
  <c r="F6" i="21"/>
  <c r="G6" i="21" s="1"/>
  <c r="N6" i="21" s="1"/>
  <c r="C31" i="24"/>
  <c r="C30" i="24" s="1"/>
  <c r="I38" i="20" s="1"/>
  <c r="G21" i="28"/>
  <c r="C9" i="24"/>
  <c r="I34" i="20" s="1"/>
  <c r="F74" i="5"/>
  <c r="D74" i="5" s="1"/>
  <c r="L74" i="5" s="1"/>
  <c r="G12" i="16"/>
  <c r="C9" i="9"/>
  <c r="C11" i="61"/>
  <c r="C11" i="16"/>
  <c r="J23" i="13"/>
  <c r="C22" i="61"/>
  <c r="C22" i="16"/>
  <c r="J45" i="13"/>
  <c r="C20" i="61"/>
  <c r="C20" i="16"/>
  <c r="J41" i="13"/>
  <c r="J35" i="13"/>
  <c r="C17" i="61"/>
  <c r="C16" i="61"/>
  <c r="J33" i="13"/>
  <c r="C16" i="16"/>
  <c r="C15" i="61"/>
  <c r="C15" i="16"/>
  <c r="J31" i="13"/>
  <c r="A14" i="28"/>
  <c r="G21" i="29"/>
  <c r="G22" i="29" s="1"/>
  <c r="A14" i="29" s="1"/>
  <c r="G21" i="30"/>
  <c r="G22" i="30" s="1"/>
  <c r="A14" i="30" s="1"/>
  <c r="D73" i="5"/>
  <c r="L73" i="5" s="1"/>
  <c r="G21" i="31"/>
  <c r="G22" i="31" s="1"/>
  <c r="A13" i="31" s="1"/>
  <c r="B38" i="24"/>
  <c r="C38" i="24"/>
  <c r="B36" i="24"/>
  <c r="C36" i="24"/>
  <c r="C40" i="24"/>
  <c r="B40" i="24"/>
  <c r="G4" i="61"/>
  <c r="C14" i="9"/>
  <c r="C17" i="16"/>
  <c r="C18" i="16"/>
  <c r="J37" i="13"/>
  <c r="C13" i="9"/>
  <c r="D17" i="20"/>
  <c r="E17" i="20" s="1"/>
  <c r="G34" i="29"/>
  <c r="G34" i="31"/>
  <c r="G34" i="30"/>
  <c r="C12" i="9"/>
  <c r="G17" i="21"/>
  <c r="C17" i="9"/>
  <c r="C20" i="9"/>
  <c r="C18" i="9"/>
  <c r="G5" i="16"/>
  <c r="G4" i="16"/>
  <c r="M18" i="12"/>
  <c r="C16" i="9"/>
  <c r="B21" i="24"/>
  <c r="C21" i="24" s="1"/>
  <c r="AC4" i="14"/>
  <c r="C24" i="9" s="1"/>
  <c r="C11" i="9"/>
  <c r="C10" i="16"/>
  <c r="J21" i="13"/>
  <c r="C9" i="16"/>
  <c r="J19" i="13"/>
  <c r="J13" i="13"/>
  <c r="C6" i="16"/>
  <c r="C8" i="9"/>
  <c r="C15" i="9"/>
  <c r="C27" i="24"/>
  <c r="I36" i="20" s="1"/>
  <c r="H28" i="10" s="1"/>
  <c r="C7" i="9"/>
  <c r="B27" i="24"/>
  <c r="C3" i="16"/>
  <c r="J7" i="13"/>
  <c r="C6" i="9"/>
  <c r="B30" i="24"/>
  <c r="I20" i="21"/>
  <c r="G20" i="21"/>
  <c r="N20" i="21" s="1"/>
  <c r="J19" i="20"/>
  <c r="C33" i="24"/>
  <c r="I37" i="20" s="1"/>
  <c r="B33" i="24"/>
  <c r="D85" i="5"/>
  <c r="L85" i="5" s="1"/>
  <c r="O24" i="21"/>
  <c r="B15" i="24" s="1"/>
  <c r="C15" i="24" s="1"/>
  <c r="N13" i="21"/>
  <c r="F7" i="5"/>
  <c r="F88" i="5"/>
  <c r="G35" i="30" l="1"/>
  <c r="G38" i="30" s="1"/>
  <c r="A30" i="30" s="1"/>
  <c r="G32" i="32"/>
  <c r="G35" i="32" s="1"/>
  <c r="I6" i="21"/>
  <c r="I24" i="21" s="1"/>
  <c r="B22" i="24" s="1"/>
  <c r="J6" i="21"/>
  <c r="J24" i="21" s="1"/>
  <c r="B25" i="24" s="1"/>
  <c r="C25" i="24" s="1"/>
  <c r="C23" i="24" s="1"/>
  <c r="D38" i="20" s="1"/>
  <c r="F78" i="5"/>
  <c r="D78" i="5" s="1"/>
  <c r="L78" i="5" s="1"/>
  <c r="G34" i="28"/>
  <c r="G36" i="28" s="1"/>
  <c r="A29" i="28" s="1"/>
  <c r="G35" i="29"/>
  <c r="G39" i="29" s="1"/>
  <c r="A30" i="29" s="1"/>
  <c r="E19" i="20"/>
  <c r="G35" i="31"/>
  <c r="G38" i="31" s="1"/>
  <c r="A30" i="31" s="1"/>
  <c r="E70" i="5"/>
  <c r="D70" i="5" s="1"/>
  <c r="C66" i="9" s="1"/>
  <c r="J97" i="5"/>
  <c r="C87" i="9" s="1"/>
  <c r="H30" i="10"/>
  <c r="H26" i="10"/>
  <c r="D97" i="5"/>
  <c r="C79" i="9" s="1"/>
  <c r="AC3" i="14"/>
  <c r="C23" i="9" s="1"/>
  <c r="B7" i="24"/>
  <c r="D7" i="24" s="1"/>
  <c r="D5" i="24" s="1"/>
  <c r="E5" i="24" s="1"/>
  <c r="C10" i="28"/>
  <c r="B4" i="24"/>
  <c r="B2" i="24" s="1"/>
  <c r="C2" i="24" s="1"/>
  <c r="F34" i="20" s="1"/>
  <c r="D83" i="5"/>
  <c r="L83" i="5" s="1"/>
  <c r="C10" i="30"/>
  <c r="C9" i="31"/>
  <c r="C9" i="32"/>
  <c r="C10" i="29"/>
  <c r="C68" i="9"/>
  <c r="F70" i="5"/>
  <c r="H97" i="5"/>
  <c r="C84" i="9" s="1"/>
  <c r="G24" i="21"/>
  <c r="B8" i="24" s="1"/>
  <c r="N24" i="21"/>
  <c r="J71" i="5"/>
  <c r="H71" i="5" s="1"/>
  <c r="L71" i="5" s="1"/>
  <c r="H98" i="5"/>
  <c r="C85" i="9" s="1"/>
  <c r="H29" i="10"/>
  <c r="D88" i="5"/>
  <c r="L88" i="5" s="1"/>
  <c r="C13" i="24"/>
  <c r="I35" i="20" s="1"/>
  <c r="B13" i="24"/>
  <c r="B23" i="24" l="1"/>
  <c r="H96" i="5"/>
  <c r="C83" i="9" s="1"/>
  <c r="D30" i="10"/>
  <c r="C22" i="24"/>
  <c r="C17" i="24" s="1"/>
  <c r="D37" i="20" s="1"/>
  <c r="A27" i="32"/>
  <c r="E77" i="5" s="1"/>
  <c r="F77" i="5"/>
  <c r="D77" i="5" s="1"/>
  <c r="B5" i="24"/>
  <c r="B17" i="24"/>
  <c r="D34" i="20"/>
  <c r="D26" i="10" s="1"/>
  <c r="C69" i="9"/>
  <c r="D42" i="24"/>
  <c r="C70" i="9"/>
  <c r="F97" i="5"/>
  <c r="C82" i="9" s="1"/>
  <c r="H27" i="10"/>
  <c r="D29" i="10" l="1"/>
  <c r="J96" i="5"/>
  <c r="C86" i="9" s="1"/>
  <c r="E42" i="24"/>
  <c r="E44" i="24" s="1"/>
  <c r="D35" i="20" s="1"/>
  <c r="C5" i="24"/>
  <c r="D36" i="20" s="1"/>
  <c r="C67" i="9"/>
  <c r="D96" i="5"/>
  <c r="C78" i="9" s="1"/>
  <c r="D98" i="5" l="1"/>
  <c r="C80" i="9" s="1"/>
  <c r="D28" i="10"/>
  <c r="F96" i="5"/>
  <c r="C81" i="9" s="1"/>
  <c r="D27" i="10"/>
  <c r="F36" i="20"/>
</calcChain>
</file>

<file path=xl/sharedStrings.xml><?xml version="1.0" encoding="utf-8"?>
<sst xmlns="http://schemas.openxmlformats.org/spreadsheetml/2006/main" count="10180" uniqueCount="5073">
  <si>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</si>
  <si>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</si>
  <si>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</si>
  <si>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</si>
  <si>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</si>
  <si>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</si>
  <si>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</si>
  <si>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</si>
  <si>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</si>
  <si>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</si>
  <si>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</si>
  <si>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</si>
  <si>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</si>
  <si>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</si>
  <si>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</si>
  <si>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</si>
  <si>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</si>
  <si>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</si>
  <si>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</si>
  <si>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</si>
  <si>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</si>
  <si>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</si>
  <si>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</si>
  <si>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</si>
  <si>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</si>
  <si>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</si>
  <si>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</si>
  <si>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</si>
  <si>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</si>
  <si>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</si>
  <si>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</si>
  <si>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</si>
  <si>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</si>
  <si>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</si>
  <si>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</si>
  <si>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</si>
  <si>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</si>
  <si>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 xml:space="preserve">       salt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</si>
  <si>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</si>
  <si>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</si>
  <si>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</si>
  <si>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</si>
  <si>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</si>
  <si>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</si>
  <si>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</si>
  <si>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</si>
  <si>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</si>
  <si>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</si>
  <si>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</si>
  <si>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</si>
  <si>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</si>
  <si>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</si>
  <si>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</si>
  <si>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</si>
  <si>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</si>
  <si>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</si>
  <si>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</si>
  <si>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</si>
  <si>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</si>
  <si>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</si>
  <si>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</si>
  <si>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</si>
  <si>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</si>
  <si>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</si>
  <si>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</si>
  <si>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</si>
  <si>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</si>
  <si>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</si>
  <si>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</si>
  <si>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MedicatieIV 1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</si>
  <si>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</si>
  <si>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</si>
  <si>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</si>
  <si>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</si>
  <si>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</si>
  <si>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</si>
  <si>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</si>
  <si>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</si>
  <si>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</si>
  <si>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</si>
  <si>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</si>
  <si>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</si>
  <si>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</si>
  <si>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</si>
  <si>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</si>
  <si>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</si>
  <si>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</si>
  <si>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</si>
  <si>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</si>
  <si>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</si>
  <si>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</si>
  <si>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</si>
  <si>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</si>
  <si>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</si>
  <si>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</si>
  <si>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</si>
  <si>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</si>
  <si>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</si>
  <si>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</si>
  <si>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</si>
  <si>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</si>
  <si>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</si>
  <si>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</si>
  <si>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</si>
  <si>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</si>
  <si>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</si>
  <si>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</si>
  <si>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</si>
  <si>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</si>
  <si>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</si>
  <si>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</si>
  <si>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</si>
  <si>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</si>
  <si>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</si>
  <si>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</si>
  <si>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berMedDisc</t>
  </si>
  <si>
    <t>opmerkingen bij discontinue medicatie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</si>
  <si>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</si>
  <si>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</si>
  <si>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</si>
  <si>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</si>
  <si>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</si>
  <si>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</si>
  <si>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</si>
  <si>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</si>
  <si>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</si>
  <si>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</si>
  <si>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</si>
  <si>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</si>
  <si>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</si>
  <si>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</si>
  <si>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</si>
  <si>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</si>
  <si>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</si>
  <si>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</si>
  <si>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</si>
  <si>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</si>
  <si>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</si>
  <si>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</si>
  <si>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</si>
  <si>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</si>
  <si>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</si>
  <si>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</si>
  <si>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</si>
  <si>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</si>
  <si>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</si>
  <si>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</si>
  <si>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</si>
  <si>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</si>
  <si>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</si>
  <si>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</si>
  <si>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</si>
  <si>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</si>
  <si>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</si>
  <si>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</si>
  <si>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</si>
  <si>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</si>
  <si>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</si>
  <si>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</si>
  <si>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</si>
  <si>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</si>
  <si>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</si>
  <si>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1-4 mg/kg/dag</t>
  </si>
  <si>
    <t>lokaal</t>
  </si>
  <si>
    <t>alprostadil</t>
  </si>
  <si>
    <t>Oplossing</t>
  </si>
  <si>
    <t>mmol/mg</t>
  </si>
  <si>
    <t>Perifeer infuus 1: medicatie</t>
  </si>
  <si>
    <t>Arterielijn:</t>
  </si>
  <si>
    <t>extra glucose 10%</t>
  </si>
  <si>
    <t>Sonde:</t>
  </si>
  <si>
    <t>Volume tot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</si>
  <si>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</si>
  <si>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</si>
  <si>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</si>
  <si>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</si>
  <si>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</si>
  <si>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</si>
  <si>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</si>
  <si>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</si>
  <si>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</si>
  <si>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Calorien</t>
  </si>
  <si>
    <t>Koolhydraten</t>
  </si>
  <si>
    <t>Natrium</t>
  </si>
  <si>
    <t>Phosfaat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</si>
  <si>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</si>
  <si>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</si>
  <si>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</si>
  <si>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</si>
  <si>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</si>
  <si>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</si>
  <si>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</si>
  <si>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</si>
  <si>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</si>
  <si>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</si>
  <si>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</si>
  <si>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</si>
  <si>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</si>
  <si>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</si>
  <si>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</si>
  <si>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</si>
  <si>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</si>
  <si>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</si>
  <si>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</si>
  <si>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</si>
  <si>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oplossing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</si>
  <si>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</si>
  <si>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</si>
  <si>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</si>
  <si>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</si>
  <si>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</si>
  <si>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</si>
  <si>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</si>
  <si>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</si>
  <si>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</si>
  <si>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</si>
  <si>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</si>
  <si>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</si>
  <si>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</si>
  <si>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</si>
  <si>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</si>
  <si>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</si>
  <si>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</si>
  <si>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</si>
  <si>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</si>
  <si>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</si>
  <si>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</si>
  <si>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</si>
  <si>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</si>
  <si>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</si>
  <si>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</si>
  <si>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</si>
  <si>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</si>
  <si>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</si>
  <si>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</si>
  <si>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</si>
  <si>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</si>
  <si>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</si>
  <si>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</si>
  <si>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</si>
  <si>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</si>
  <si>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</si>
  <si>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</si>
  <si>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</si>
  <si>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</si>
  <si>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</si>
  <si>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</si>
  <si>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</si>
  <si>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</si>
  <si>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</si>
  <si>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</si>
  <si>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</si>
  <si>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</si>
  <si>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</si>
  <si>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</si>
  <si>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</si>
  <si>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</si>
  <si>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</si>
  <si>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</si>
  <si>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</si>
  <si>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</si>
  <si>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</si>
  <si>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</si>
  <si>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</si>
  <si>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</si>
  <si>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</si>
  <si>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</si>
  <si>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</si>
  <si>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</si>
  <si>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</si>
  <si>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</si>
  <si>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</si>
  <si>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</si>
  <si>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</si>
  <si>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</si>
  <si>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</si>
  <si>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</si>
  <si>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</si>
  <si>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</si>
  <si>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</si>
  <si>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</si>
  <si>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</si>
  <si>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</si>
  <si>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</si>
  <si>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</si>
  <si>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</si>
  <si>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</si>
  <si>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</si>
  <si>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</si>
  <si>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</si>
  <si>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</si>
  <si>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</si>
  <si>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</si>
  <si>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</si>
  <si>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</si>
  <si>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</si>
  <si>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</si>
  <si>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</si>
  <si>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</si>
  <si>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</si>
  <si>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</si>
  <si>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</si>
  <si>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</si>
  <si>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</si>
  <si>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</si>
  <si>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</si>
  <si>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</si>
  <si>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</si>
  <si>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</si>
  <si>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</si>
  <si>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</si>
  <si>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</si>
  <si>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</si>
  <si>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</si>
  <si>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</si>
  <si>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</si>
  <si>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</si>
  <si>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Infuussnelheid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</si>
  <si>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</si>
  <si>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</si>
  <si>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</si>
  <si>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</si>
  <si>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</si>
  <si>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</si>
  <si>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</si>
  <si>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</si>
  <si>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</si>
  <si>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</si>
  <si>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</si>
  <si>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</si>
  <si>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</si>
  <si>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</si>
  <si>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</si>
  <si>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</si>
  <si>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</si>
  <si>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</si>
  <si>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</si>
  <si>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</si>
  <si>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</si>
  <si>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</si>
  <si>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</si>
  <si>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</si>
  <si>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</si>
  <si>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</si>
  <si>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</si>
  <si>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</si>
  <si>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</si>
  <si>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</si>
  <si>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</si>
  <si>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</si>
  <si>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</si>
  <si>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</si>
  <si>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</si>
  <si>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</si>
  <si>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</si>
  <si>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</si>
  <si>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</si>
  <si>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</si>
  <si>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</si>
  <si>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</si>
  <si>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</si>
  <si>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</si>
  <si>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</si>
  <si>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</si>
  <si>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</si>
  <si>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</si>
  <si>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</si>
  <si>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</si>
  <si>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</si>
  <si>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</si>
  <si>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</si>
  <si>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</si>
  <si>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</si>
  <si>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</si>
  <si>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</si>
  <si>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</si>
  <si>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</si>
  <si>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</si>
  <si>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</si>
  <si>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</si>
  <si>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</si>
  <si>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</si>
  <si>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</si>
  <si>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</si>
  <si>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</si>
  <si>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</si>
  <si>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</si>
  <si>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</si>
  <si>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</si>
  <si>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</si>
  <si>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</si>
  <si>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</si>
  <si>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</si>
  <si>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</si>
  <si>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</si>
  <si>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</si>
  <si>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</si>
  <si>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</si>
  <si>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</si>
  <si>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</si>
  <si>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</si>
  <si>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</si>
  <si>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</si>
  <si>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</si>
  <si>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</si>
  <si>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</si>
  <si>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</si>
  <si>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</si>
  <si>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</si>
  <si>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</si>
  <si>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</si>
  <si>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</si>
  <si>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</si>
  <si>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</si>
  <si>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</si>
  <si>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</si>
  <si>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</si>
  <si>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</si>
  <si>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</si>
  <si>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</si>
  <si>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</si>
  <si>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</si>
  <si>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</si>
  <si>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</si>
  <si>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</si>
  <si>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</si>
  <si>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</si>
  <si>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</si>
  <si>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</si>
  <si>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</si>
  <si>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</si>
  <si>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</si>
  <si>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</si>
  <si>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</si>
  <si>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</si>
  <si>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</si>
  <si>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</si>
  <si>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</si>
  <si>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</si>
  <si>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</si>
  <si>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</si>
  <si>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</si>
  <si>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</si>
  <si>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</si>
  <si>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</si>
  <si>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</si>
  <si>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</si>
  <si>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mcg/kg/min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</si>
  <si>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</si>
  <si>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</si>
  <si>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</si>
  <si>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</si>
  <si>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</si>
  <si>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</si>
  <si>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</si>
  <si>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</si>
  <si>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</si>
  <si>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</si>
  <si>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</si>
  <si>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</si>
  <si>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</si>
  <si>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</si>
  <si>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</si>
  <si>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</si>
  <si>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</si>
  <si>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</si>
  <si>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</si>
  <si>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</si>
  <si>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</si>
  <si>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</si>
  <si>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</si>
  <si>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</si>
  <si>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</si>
  <si>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</si>
  <si>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</si>
  <si>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</si>
  <si>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</si>
  <si>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</si>
  <si>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</si>
  <si>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</si>
  <si>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</si>
  <si>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</si>
  <si>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</si>
  <si>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</si>
  <si>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</si>
  <si>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</si>
  <si>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</si>
  <si>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</si>
  <si>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</si>
  <si>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</si>
  <si>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</si>
  <si>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</si>
  <si>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</si>
  <si>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</si>
  <si>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</si>
  <si>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</si>
  <si>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</si>
  <si>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</si>
  <si>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</si>
  <si>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</si>
  <si>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</si>
  <si>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</si>
  <si>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</si>
  <si>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</si>
  <si>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</si>
  <si>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</si>
  <si>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</si>
  <si>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</si>
  <si>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</si>
  <si>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</si>
  <si>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</si>
  <si>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</si>
  <si>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</si>
  <si>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</si>
  <si>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</si>
  <si>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</si>
  <si>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</si>
  <si>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</si>
  <si>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</si>
  <si>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</si>
  <si>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</si>
  <si>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</si>
  <si>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</si>
  <si>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</si>
  <si>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</si>
  <si>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</si>
  <si>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</si>
  <si>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</si>
  <si>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</si>
  <si>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</si>
  <si>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</si>
  <si>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</si>
  <si>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</si>
  <si>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</si>
  <si>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</si>
  <si>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</si>
  <si>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</si>
  <si>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</si>
  <si>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</si>
  <si>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</si>
  <si>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</si>
  <si>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</si>
  <si>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</si>
  <si>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</si>
  <si>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</si>
  <si>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</si>
  <si>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</si>
  <si>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</si>
  <si>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</si>
  <si>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</si>
  <si>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</si>
  <si>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</si>
  <si>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</si>
  <si>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</si>
  <si>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</si>
  <si>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</si>
  <si>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</si>
  <si>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</si>
  <si>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</si>
  <si>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</si>
  <si>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</si>
  <si>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</si>
  <si>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</si>
  <si>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</si>
  <si>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</si>
  <si>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</si>
  <si>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</si>
  <si>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</si>
  <si>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</si>
  <si>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</si>
  <si>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</si>
  <si>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</si>
  <si>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</si>
  <si>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</si>
  <si>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</si>
  <si>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</si>
  <si>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</si>
  <si>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</si>
  <si>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</si>
  <si>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</si>
  <si>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</si>
  <si>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</si>
  <si>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</si>
  <si>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</si>
  <si>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</si>
  <si>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</si>
  <si>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</si>
  <si>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</si>
  <si>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</si>
  <si>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</si>
  <si>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</si>
  <si>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</si>
  <si>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</si>
  <si>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</si>
  <si>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</si>
  <si>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</si>
  <si>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</si>
  <si>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</si>
  <si>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</si>
  <si>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</si>
  <si>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</si>
  <si>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</si>
  <si>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</si>
  <si>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</si>
  <si>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</si>
  <si>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</si>
  <si>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</si>
  <si>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</si>
  <si>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</si>
  <si>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</si>
  <si>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</si>
  <si>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</si>
  <si>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</si>
  <si>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</si>
  <si>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</si>
  <si>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</si>
  <si>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</si>
  <si>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</si>
  <si>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</si>
  <si>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</si>
  <si>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</si>
  <si>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</si>
  <si>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</si>
  <si>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</si>
  <si>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</si>
  <si>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</si>
  <si>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</si>
  <si>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</si>
  <si>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</si>
  <si>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</si>
  <si>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</si>
  <si>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</si>
  <si>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</si>
  <si>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</si>
  <si>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</si>
  <si>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</si>
  <si>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</si>
  <si>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</si>
  <si>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</si>
  <si>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</si>
  <si>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</si>
  <si>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</si>
  <si>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</si>
  <si>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</si>
  <si>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</si>
  <si>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</si>
  <si>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</si>
  <si>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</si>
  <si>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</si>
  <si>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</si>
  <si>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</si>
  <si>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</si>
  <si>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</si>
  <si>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</si>
  <si>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</si>
  <si>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</si>
  <si>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</si>
  <si>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</si>
  <si>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</si>
  <si>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</si>
  <si>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</si>
  <si>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</si>
  <si>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</si>
  <si>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</si>
  <si>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Nieuwe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</si>
  <si>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</si>
  <si>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</si>
  <si>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</si>
  <si>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</si>
  <si>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</si>
  <si>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</si>
  <si>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</si>
  <si>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</si>
  <si>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</si>
  <si>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</si>
  <si>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</si>
  <si>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</si>
  <si>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</si>
  <si>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</si>
  <si>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</si>
  <si>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</si>
  <si>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</si>
  <si>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</si>
  <si>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</si>
  <si>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</si>
  <si>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</si>
  <si>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</si>
  <si>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</si>
  <si>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</si>
  <si>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</si>
  <si>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</si>
  <si>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</si>
  <si>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</si>
  <si>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</si>
  <si>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</si>
  <si>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</si>
  <si>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</si>
  <si>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</si>
  <si>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</si>
  <si>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</si>
  <si>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</si>
  <si>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</si>
  <si>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</si>
  <si>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</si>
  <si>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</si>
  <si>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</si>
  <si>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</si>
  <si>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</si>
  <si>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</si>
  <si>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</si>
  <si>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</si>
  <si>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</si>
  <si>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</si>
  <si>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</si>
  <si>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</si>
  <si>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</si>
  <si>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</si>
  <si>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</si>
  <si>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</si>
  <si>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</si>
  <si>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</si>
  <si>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</si>
  <si>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</si>
  <si>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</si>
  <si>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</si>
  <si>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</si>
  <si>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</si>
  <si>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</si>
  <si>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</si>
  <si>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</si>
  <si>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</si>
  <si>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</si>
  <si>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</si>
  <si>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</si>
  <si>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</si>
  <si>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</si>
  <si>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</si>
  <si>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</si>
  <si>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</si>
  <si>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</si>
  <si>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</si>
  <si>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</si>
  <si>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</si>
  <si>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</si>
  <si>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</si>
  <si>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</si>
  <si>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</si>
  <si>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</si>
  <si>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</si>
  <si>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</si>
  <si>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</si>
  <si>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</si>
  <si>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</si>
  <si>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</si>
  <si>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</si>
  <si>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</si>
  <si>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</si>
  <si>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</si>
  <si>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</si>
  <si>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</si>
  <si>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</si>
  <si>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</si>
  <si>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</si>
  <si>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</si>
  <si>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</si>
  <si>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</si>
  <si>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</si>
  <si>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</si>
  <si>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</si>
  <si>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</si>
  <si>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</si>
  <si>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</si>
  <si>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</si>
  <si>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</si>
  <si>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</si>
  <si>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</si>
  <si>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</si>
  <si>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</si>
  <si>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10-100 nanogram/kg/min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</si>
  <si>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</si>
  <si>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</si>
  <si>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</si>
  <si>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</si>
  <si>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</si>
  <si>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</si>
  <si>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</si>
  <si>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</si>
  <si>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</si>
  <si>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</si>
  <si>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</si>
  <si>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</si>
  <si>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</si>
  <si>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</si>
  <si>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</si>
  <si>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</si>
  <si>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</si>
  <si>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</si>
  <si>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</si>
  <si>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</si>
  <si>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</si>
  <si>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</si>
  <si>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</si>
  <si>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</si>
  <si>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</si>
  <si>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</si>
  <si>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</si>
  <si>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</si>
  <si>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</si>
  <si>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</si>
  <si>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</si>
  <si>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</si>
  <si>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</si>
  <si>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</si>
  <si>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</si>
  <si>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</si>
  <si>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</si>
  <si>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</si>
  <si>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</si>
  <si>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</si>
  <si>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</si>
  <si>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</si>
  <si>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</si>
  <si>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</si>
  <si>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</si>
  <si>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</si>
  <si>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</si>
  <si>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</si>
  <si>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</si>
  <si>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</si>
  <si>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</si>
  <si>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</si>
  <si>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</si>
  <si>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</si>
  <si>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</si>
  <si>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</si>
  <si>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</si>
  <si>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</si>
  <si>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</si>
  <si>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</si>
  <si>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</si>
  <si>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</si>
  <si>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</si>
  <si>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</si>
  <si>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</si>
  <si>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</si>
  <si>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</si>
  <si>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</si>
  <si>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</si>
  <si>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</si>
  <si>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</si>
  <si>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</si>
  <si>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</si>
  <si>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</si>
  <si>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</si>
  <si>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</si>
  <si>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</si>
  <si>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</si>
  <si>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</si>
  <si>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</si>
  <si>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</si>
  <si>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</si>
  <si>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</si>
  <si>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</si>
  <si>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</si>
  <si>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</si>
  <si>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</si>
  <si>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</si>
  <si>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</si>
  <si>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</si>
  <si>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</si>
  <si>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</si>
  <si>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</si>
  <si>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</si>
  <si>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</si>
  <si>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</si>
  <si>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</si>
  <si>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</si>
  <si>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</si>
  <si>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</si>
  <si>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</si>
  <si>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</si>
  <si>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</si>
  <si>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</si>
  <si>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</si>
  <si>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</si>
  <si>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</si>
  <si>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</si>
  <si>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</si>
  <si>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</si>
  <si>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</si>
  <si>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</si>
  <si>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</si>
  <si>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</si>
  <si>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</si>
  <si>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</si>
  <si>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</si>
  <si>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</si>
  <si>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</si>
  <si>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</si>
  <si>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</si>
  <si>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</si>
  <si>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</si>
  <si>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</si>
  <si>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</si>
  <si>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</si>
  <si>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</si>
  <si>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</si>
  <si>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</si>
  <si>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</si>
  <si>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</si>
  <si>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</si>
  <si>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</si>
  <si>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</si>
  <si>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</si>
  <si>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</si>
  <si>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</si>
  <si>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</si>
  <si>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</si>
  <si>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</si>
  <si>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</si>
  <si>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</si>
  <si>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</si>
  <si>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</si>
  <si>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</si>
  <si>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</si>
  <si>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</si>
  <si>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</si>
  <si>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</si>
  <si>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</si>
  <si>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</si>
  <si>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</si>
  <si>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</si>
  <si>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</si>
  <si>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</si>
  <si>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</si>
  <si>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</si>
  <si>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</si>
  <si>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</si>
  <si>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</si>
  <si>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</si>
  <si>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</si>
  <si>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</si>
  <si>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</si>
  <si>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</si>
  <si>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</si>
  <si>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</si>
  <si>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</si>
  <si>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</si>
  <si>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</si>
  <si>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</si>
  <si>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</si>
  <si>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</si>
  <si>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</si>
  <si>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</si>
  <si>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</si>
  <si>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</si>
  <si>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</si>
  <si>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</si>
  <si>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</si>
  <si>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</si>
  <si>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</si>
  <si>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</si>
  <si>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</si>
  <si>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</si>
  <si>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</si>
  <si>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</si>
  <si>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</si>
  <si>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</si>
  <si>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</si>
  <si>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</si>
  <si>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</si>
  <si>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</si>
  <si>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</si>
  <si>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</si>
  <si>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</si>
  <si>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</si>
  <si>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</si>
  <si>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</si>
  <si>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</si>
  <si>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</si>
  <si>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</si>
  <si>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</si>
  <si>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</si>
  <si>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</si>
  <si>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</si>
  <si>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</si>
  <si>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</si>
  <si>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</si>
  <si>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</si>
  <si>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</si>
  <si>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</si>
  <si>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</si>
  <si>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</si>
  <si>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</si>
  <si>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</si>
  <si>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</si>
  <si>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</si>
  <si>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</si>
  <si>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</si>
  <si>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</si>
  <si>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</si>
  <si>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</si>
  <si>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</si>
  <si>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</si>
  <si>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</si>
  <si>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</si>
  <si>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</si>
  <si>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</si>
  <si>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</si>
  <si>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</si>
  <si>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</si>
  <si>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</si>
  <si>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</si>
  <si>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</si>
  <si>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</si>
  <si>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</si>
  <si>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</si>
  <si>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</si>
  <si>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</si>
  <si>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</si>
  <si>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</si>
  <si>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</si>
  <si>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</si>
  <si>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</si>
  <si>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</si>
  <si>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</si>
  <si>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</si>
  <si>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</si>
  <si>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</si>
  <si>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</si>
  <si>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</si>
  <si>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</si>
  <si>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</si>
  <si>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</si>
  <si>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</si>
  <si>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</si>
  <si>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</si>
  <si>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</si>
  <si>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</si>
  <si>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</si>
  <si>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</si>
  <si>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</si>
  <si>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</si>
  <si>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</si>
  <si>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</si>
  <si>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</si>
  <si>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</si>
  <si>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</si>
  <si>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</si>
  <si>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</si>
  <si>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</si>
  <si>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</si>
  <si>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</si>
  <si>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</si>
  <si>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</si>
  <si>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</si>
  <si>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</si>
  <si>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</si>
  <si>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</si>
  <si>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</si>
  <si>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</si>
  <si>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</si>
  <si>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</si>
  <si>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</si>
  <si>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</si>
  <si>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</si>
  <si>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</si>
  <si>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</si>
  <si>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</si>
  <si>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</si>
  <si>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</si>
  <si>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</si>
  <si>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</si>
  <si>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</si>
  <si>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</si>
  <si>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</si>
  <si>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</si>
  <si>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</si>
  <si>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</si>
  <si>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</si>
  <si>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</si>
  <si>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</si>
  <si>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</si>
  <si>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</si>
  <si>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</si>
  <si>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</si>
  <si>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</si>
  <si>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</si>
  <si>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</si>
  <si>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</si>
  <si>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</si>
  <si>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</si>
  <si>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</si>
  <si>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</si>
  <si>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</si>
  <si>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</si>
  <si>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</si>
  <si>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</si>
  <si>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</si>
  <si>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</si>
  <si>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</si>
  <si>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</si>
  <si>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</si>
  <si>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</si>
  <si>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</si>
  <si>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</si>
  <si>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</si>
  <si>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</si>
  <si>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</si>
  <si>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</si>
  <si>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</si>
  <si>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</si>
  <si>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</si>
  <si>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</si>
  <si>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</si>
  <si>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</si>
  <si>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</si>
  <si>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</si>
  <si>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</si>
  <si>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</si>
  <si>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</si>
  <si>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</si>
  <si>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</si>
  <si>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</si>
  <si>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</si>
  <si>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</si>
  <si>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</si>
  <si>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</si>
  <si>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</si>
  <si>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</si>
  <si>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</si>
  <si>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</si>
  <si>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</si>
  <si>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</si>
  <si>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</si>
  <si>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</si>
  <si>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</si>
  <si>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</si>
  <si>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</si>
  <si>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</si>
  <si>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</si>
  <si>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</si>
  <si>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</si>
  <si>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</si>
  <si>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</si>
  <si>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</si>
  <si>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</si>
  <si>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</si>
  <si>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</si>
  <si>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</si>
  <si>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</si>
  <si>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</si>
  <si>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</si>
  <si>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</si>
  <si>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</si>
  <si>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</si>
  <si>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</si>
  <si>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</si>
  <si>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</si>
  <si>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</si>
  <si>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</si>
  <si>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</si>
  <si>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</si>
  <si>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</si>
  <si>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</si>
  <si>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</si>
  <si>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</si>
  <si>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</si>
  <si>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</si>
  <si>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Doxapram (Dopram)</t>
  </si>
  <si>
    <t>0,5-2 mg/kg/uur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</si>
  <si>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</si>
  <si>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</si>
  <si>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</si>
  <si>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</si>
  <si>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</si>
  <si>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</si>
  <si>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</si>
  <si>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</si>
  <si>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</si>
  <si>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PICC</t>
  </si>
  <si>
    <t>Zaterdag 08:00 uur</t>
  </si>
  <si>
    <t>Maandag 08:00 uur</t>
  </si>
  <si>
    <t>Zondag 08:00 uur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</si>
  <si>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</si>
  <si>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</si>
  <si>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</si>
  <si>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</si>
  <si>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</si>
  <si>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</si>
  <si>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</si>
  <si>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</si>
  <si>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</si>
  <si>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</si>
  <si>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Calculated Strength</t>
  </si>
  <si>
    <t>Calculated Sol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</si>
  <si>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</si>
  <si>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</si>
  <si>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</si>
  <si>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</si>
  <si>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</si>
  <si>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</si>
  <si>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</si>
  <si>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</si>
  <si>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</si>
  <si>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</si>
  <si>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</si>
  <si>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</si>
  <si>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</si>
  <si>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TestOmgeving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</si>
  <si>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</si>
  <si>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</si>
  <si>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</si>
  <si>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</si>
  <si>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</si>
  <si>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</si>
  <si>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</si>
  <si>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</si>
  <si>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</si>
  <si>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</si>
  <si>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</si>
  <si>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</si>
  <si>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</si>
  <si>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</si>
  <si>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</si>
  <si>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</si>
  <si>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</si>
  <si>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</si>
  <si>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</si>
  <si>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</si>
  <si>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_Ped_IVLijn_1</t>
  </si>
  <si>
    <t>_Ped_IVLijn_2</t>
  </si>
  <si>
    <t>_Ped_IVLijn_3</t>
  </si>
  <si>
    <t>_Ped_IVLijn_4</t>
  </si>
  <si>
    <t>_Ped_IVLijn_5</t>
  </si>
  <si>
    <t>_Ped_IVLijn_6</t>
  </si>
  <si>
    <t>_xlfn.IFERROR</t>
  </si>
  <si>
    <t>NeoGuiAcuut!Print_Area</t>
  </si>
  <si>
    <t>NeoPrtAfspr!Print_Area</t>
  </si>
  <si>
    <t>NeoPrtApoth!Print_Area</t>
  </si>
  <si>
    <t>NeoPrtMedDisc!Print_Area</t>
  </si>
  <si>
    <t>NeoPrtWerkbr!Print_Area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</si>
  <si>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</si>
  <si>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</si>
  <si>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</si>
  <si>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</si>
  <si>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</si>
  <si>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</si>
  <si>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</si>
  <si>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</si>
  <si>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</si>
  <si>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</si>
  <si>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</si>
  <si>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</si>
  <si>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</si>
  <si>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</si>
  <si>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</si>
  <si>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</si>
  <si>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</si>
  <si>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</si>
  <si>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</si>
  <si>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</si>
  <si>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</si>
  <si>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</si>
  <si>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tblBerMedContIV</t>
  </si>
  <si>
    <t>tblInfusenBer</t>
  </si>
  <si>
    <t>tblMedDiscTijdenValues</t>
  </si>
  <si>
    <t>tblMedicationContIV</t>
  </si>
  <si>
    <t>tblOmrekenCa</t>
  </si>
  <si>
    <t>tblOmrekenCl</t>
  </si>
  <si>
    <t>tblOmrekenFe</t>
  </si>
  <si>
    <t>tblOmrekenK</t>
  </si>
  <si>
    <t>tblOmrekenMg</t>
  </si>
  <si>
    <t>tblOmrekenNA</t>
  </si>
  <si>
    <t>tblOmrekenP</t>
  </si>
  <si>
    <t>tblOmrekenVitD</t>
  </si>
  <si>
    <t>tblOplossing</t>
  </si>
  <si>
    <t>tblOpzoekenMedicatieIV</t>
  </si>
  <si>
    <t>tblPacemakerModus</t>
  </si>
  <si>
    <t>tblPacemakerPositie</t>
  </si>
  <si>
    <t>tblPerOs</t>
  </si>
  <si>
    <t>tblPO_poederlijst</t>
  </si>
  <si>
    <t>tblPoeder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</si>
  <si>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</si>
  <si>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</si>
  <si>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</si>
  <si>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</si>
  <si>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</si>
  <si>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</si>
  <si>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</si>
  <si>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</si>
  <si>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</si>
  <si>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</si>
  <si>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</si>
  <si>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</si>
  <si>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</si>
  <si>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</si>
  <si>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</si>
  <si>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</si>
  <si>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</si>
  <si>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</si>
  <si>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</si>
  <si>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PatDetails!$A$2</t>
  </si>
  <si>
    <t>PatDetails!$J$2</t>
  </si>
  <si>
    <t>PatDetails!$D$2</t>
  </si>
  <si>
    <t>PatDetails!$E$2</t>
  </si>
  <si>
    <t>PatDetails!$F$2</t>
  </si>
  <si>
    <t>NeoBerAfspr!$D$27</t>
  </si>
  <si>
    <t>NeoBerAfspr!$B$57</t>
  </si>
  <si>
    <t>NeoBerAfspr!$B$60</t>
  </si>
  <si>
    <t>NeoBerIV!$B$18</t>
  </si>
  <si>
    <t>NeoBer1700!$B$18</t>
  </si>
  <si>
    <t>NeoBerIV!$F$1</t>
  </si>
  <si>
    <t>NeoBer1700!$F$1</t>
  </si>
  <si>
    <t>NeoBerIV!$D$39</t>
  </si>
  <si>
    <t>NeoBer1700!$D$39</t>
  </si>
  <si>
    <t>NeoBer1700!$B$6</t>
  </si>
  <si>
    <t>NeoBerIV!$D$5</t>
  </si>
  <si>
    <t>NeoBerIV!$D$36</t>
  </si>
  <si>
    <t>NeoBer1700!$D$36</t>
  </si>
  <si>
    <t>GlobTemp!$A$2:$B$437</t>
  </si>
  <si>
    <t>NeoBerIV!$B$15</t>
  </si>
  <si>
    <t>NeoBer1700!$B$15</t>
  </si>
  <si>
    <t>NeoBerIV!$D$10</t>
  </si>
  <si>
    <t>NeoBerIV!$D$12</t>
  </si>
  <si>
    <t>NeoBer1700!$D$10</t>
  </si>
  <si>
    <t>NeoBer1700!$D$12</t>
  </si>
  <si>
    <t>NeoBer1700!$B$3</t>
  </si>
  <si>
    <t>NeoBer1700!$B$4</t>
  </si>
  <si>
    <t>PedBerMedDisc!$AF$2</t>
  </si>
  <si>
    <t>PedBerMedDisc!$AF$3</t>
  </si>
  <si>
    <t>PedBerMedDisc!$AF$4</t>
  </si>
  <si>
    <t>PedBerMedDisc!$AF$5</t>
  </si>
  <si>
    <t>PedBerMedDisc!$AF$6</t>
  </si>
  <si>
    <t>PedBerMedDisc!$AF$7</t>
  </si>
  <si>
    <t>PedBerMedDisc!$AF$8</t>
  </si>
  <si>
    <t>PedBerMedDisc!$AF$9</t>
  </si>
  <si>
    <t>PedBerMedDisc!$AF$10</t>
  </si>
  <si>
    <t>PedBerMedDisc!$AF$11</t>
  </si>
  <si>
    <t>PedBerMedDisc!$AF$12</t>
  </si>
  <si>
    <t>PedBerMedDisc!$AF$13</t>
  </si>
  <si>
    <t>PedBerMedDisc!$AF$14</t>
  </si>
  <si>
    <t>PedBerMedDisc!$AF$15</t>
  </si>
  <si>
    <t>PedBerMedDisc!$AF$16</t>
  </si>
  <si>
    <t>PedBerMedDisc!$AF$17</t>
  </si>
  <si>
    <t>PedBerMedDisc!$AF$18</t>
  </si>
  <si>
    <t>PedBerMedDisc!$AF$19</t>
  </si>
  <si>
    <t>PedBerMedDisc!$AF$20</t>
  </si>
  <si>
    <t>PedBerMedDisc!$AF$21</t>
  </si>
  <si>
    <t>PedBerMedDisc!$AF$22</t>
  </si>
  <si>
    <t>PedBerMedDisc!$AF$23</t>
  </si>
  <si>
    <t>PedBerMedDisc!$AF$24</t>
  </si>
  <si>
    <t>PedBerMedDisc!$AF$25</t>
  </si>
  <si>
    <t>PedBerMedDisc!$AF$26</t>
  </si>
  <si>
    <t>PedBerMedDisc!$AF$27</t>
  </si>
  <si>
    <t>PedBerMedDisc!$AF$28</t>
  </si>
  <si>
    <t>PedBerMedDisc!$AF$29</t>
  </si>
  <si>
    <t>PedBerMedDisc!$AF$30</t>
  </si>
  <si>
    <t>PedBerMedDisc!$AF$31</t>
  </si>
  <si>
    <t>PedBerMedDisc!$F$2</t>
  </si>
  <si>
    <t>PedBerMedDisc!$F$3</t>
  </si>
  <si>
    <t>PedBerMedDisc!$F$4</t>
  </si>
  <si>
    <t>PedBerMedDisc!$F$5</t>
  </si>
  <si>
    <t>PedBerMedDisc!$F$6</t>
  </si>
  <si>
    <t>PedBerMedDisc!$F$7</t>
  </si>
  <si>
    <t>PedBerMedDisc!$F$8</t>
  </si>
  <si>
    <t>PedBerMedDisc!$F$9</t>
  </si>
  <si>
    <t>PedBerMedDisc!$F$10</t>
  </si>
  <si>
    <t>PedBerMedDisc!$F$11</t>
  </si>
  <si>
    <t>PedBerMedDisc!$F$12</t>
  </si>
  <si>
    <t>PedBerMedDisc!$F$13</t>
  </si>
  <si>
    <t>PedBerMedDisc!$F$14</t>
  </si>
  <si>
    <t>PedBerMedDisc!$F$15</t>
  </si>
  <si>
    <t>PedBerMedDisc!$F$16</t>
  </si>
  <si>
    <t>PedBerMedDisc!$F$17</t>
  </si>
  <si>
    <t>PedBerMedDisc!$F$18</t>
  </si>
  <si>
    <t>PedBerMedDisc!$F$19</t>
  </si>
  <si>
    <t>PedBerMedDisc!$F$20</t>
  </si>
  <si>
    <t>PedBerMedDisc!$F$21</t>
  </si>
  <si>
    <t>PedBerMedDisc!$F$22</t>
  </si>
  <si>
    <t>PedBerMedDisc!$F$23</t>
  </si>
  <si>
    <t>PedBerMedDisc!$F$24</t>
  </si>
  <si>
    <t>PedBerMedDisc!$F$25</t>
  </si>
  <si>
    <t>PedBerMedDisc!$F$26</t>
  </si>
  <si>
    <t>PedBerMedDisc!$F$27</t>
  </si>
  <si>
    <t>PedBerMedDisc!$F$28</t>
  </si>
  <si>
    <t>PedBerMedDisc!$F$29</t>
  </si>
  <si>
    <t>PedBerMedDisc!$F$30</t>
  </si>
  <si>
    <t>PedBerMedDisc!$F$31</t>
  </si>
  <si>
    <t>PedBerMedDisc!$G$2</t>
  </si>
  <si>
    <t>PedBerMedDisc!$G$3</t>
  </si>
  <si>
    <t>PedBerMedDisc!$G$4</t>
  </si>
  <si>
    <t>PedBerMedDisc!$G$5</t>
  </si>
  <si>
    <t>PedBerMedDisc!$G$6</t>
  </si>
  <si>
    <t>PedBerMedDisc!$G$7</t>
  </si>
  <si>
    <t>PedBerMedDisc!$G$8</t>
  </si>
  <si>
    <t>PedBerMedDisc!$G$9</t>
  </si>
  <si>
    <t>PedBerMedDisc!$G$10</t>
  </si>
  <si>
    <t>PedBerMedDisc!$G$11</t>
  </si>
  <si>
    <t>PedBerMedDisc!$G$12</t>
  </si>
  <si>
    <t>PedBerMedDisc!$G$13</t>
  </si>
  <si>
    <t>PedBerMedDisc!$G$14</t>
  </si>
  <si>
    <t>PedBerMedDisc!$G$15</t>
  </si>
  <si>
    <t>PedBerMedDisc!$G$16</t>
  </si>
  <si>
    <t>PedBerMedDisc!$G$17</t>
  </si>
  <si>
    <t>PedBerMedDisc!$G$18</t>
  </si>
  <si>
    <t>PedBerMedDisc!$G$19</t>
  </si>
  <si>
    <t>PedBerMedDisc!$G$20</t>
  </si>
  <si>
    <t>PedBerMedDisc!$G$21</t>
  </si>
  <si>
    <t>PedBerMedDisc!$G$22</t>
  </si>
  <si>
    <t>PedBerMedDisc!$G$23</t>
  </si>
  <si>
    <t>PedBerMedDisc!$G$24</t>
  </si>
  <si>
    <t>PedBerMedDisc!$G$25</t>
  </si>
  <si>
    <t>PedBerMedDisc!$G$26</t>
  </si>
  <si>
    <t>PedBerMedDisc!$G$27</t>
  </si>
  <si>
    <t>PedBerMedDisc!$G$28</t>
  </si>
  <si>
    <t>PedBerMedDisc!$G$29</t>
  </si>
  <si>
    <t>PedBerMedDisc!$G$30</t>
  </si>
  <si>
    <t>PedBerMedDisc!$G$31</t>
  </si>
  <si>
    <t>PedBerMedDisc!$AI$2</t>
  </si>
  <si>
    <t>PedBerMedDisc!$AI$3</t>
  </si>
  <si>
    <t>PedBerMedDisc!$AI$4</t>
  </si>
  <si>
    <t>PedBerMedDisc!$AI$5</t>
  </si>
  <si>
    <t>PedBerMedDisc!$AI$6</t>
  </si>
  <si>
    <t>PedBerMedDisc!$AI$7</t>
  </si>
  <si>
    <t>PedBerMedDisc!$AI$8</t>
  </si>
  <si>
    <t>PedBerMedDisc!$AI$9</t>
  </si>
  <si>
    <t>PedBerMedDisc!$AI$10</t>
  </si>
  <si>
    <t>PedBerMedDisc!$AI$11</t>
  </si>
  <si>
    <t>PedBerMedDisc!$AI$12</t>
  </si>
  <si>
    <t>PedBerMedDisc!$AI$13</t>
  </si>
  <si>
    <t>PedBerMedDisc!$AI$14</t>
  </si>
  <si>
    <t>PedBerMedDisc!$AI$15</t>
  </si>
  <si>
    <t>PedBerMedDisc!$AI$16</t>
  </si>
  <si>
    <t>PedBerMedDisc!$AI$17</t>
  </si>
  <si>
    <t>PedBerMedDisc!$AI$18</t>
  </si>
  <si>
    <t>PedBerMedDisc!$AI$19</t>
  </si>
  <si>
    <t>PedBerMedDisc!$AI$20</t>
  </si>
  <si>
    <t>PedBerMedDisc!$AI$21</t>
  </si>
  <si>
    <t>PedBerMedDisc!$AI$22</t>
  </si>
  <si>
    <t>PedBerMedDisc!$AI$23</t>
  </si>
  <si>
    <t>PedBerMedDisc!$AI$24</t>
  </si>
  <si>
    <t>PedBerMedDisc!$AI$25</t>
  </si>
  <si>
    <t>PedBerMedDisc!$AI$26</t>
  </si>
  <si>
    <t>PedBerMedDisc!$AI$27</t>
  </si>
  <si>
    <t>PedBerMedDisc!$AI$28</t>
  </si>
  <si>
    <t>PedBerMedDisc!$AI$29</t>
  </si>
  <si>
    <t>PedBerMedDisc!$AI$30</t>
  </si>
  <si>
    <t>PedBerMedDisc!$AI$31</t>
  </si>
  <si>
    <t>PedBerMedDisc!$D$2</t>
  </si>
  <si>
    <t>PedBerMedDisc!$D$3</t>
  </si>
  <si>
    <t>PedBerMedDisc!$D$4</t>
  </si>
  <si>
    <t>PedBerMedDisc!$D$5</t>
  </si>
  <si>
    <t>PedBerMedDisc!$D$6</t>
  </si>
  <si>
    <t>PedBerMedDisc!$D$7</t>
  </si>
  <si>
    <t>PedBerMedDisc!$D$8</t>
  </si>
  <si>
    <t>PedBerMedDisc!$D$9</t>
  </si>
  <si>
    <t>PedBerMedDisc!$D$10</t>
  </si>
  <si>
    <t>PedBerMedDisc!$D$11</t>
  </si>
  <si>
    <t>PedBerMedDisc!$D$12</t>
  </si>
  <si>
    <t>PedBerMedDisc!$D$13</t>
  </si>
  <si>
    <t>PedBerMedDisc!$D$14</t>
  </si>
  <si>
    <t>PedBerMedDisc!$D$15</t>
  </si>
  <si>
    <t>PedBerMedDisc!$D$16</t>
  </si>
  <si>
    <t>PedBerMedDisc!$D$17</t>
  </si>
  <si>
    <t>PedBerMedDisc!$D$18</t>
  </si>
  <si>
    <t>PedBerMedDisc!$D$19</t>
  </si>
  <si>
    <t>PedBerMedDisc!$D$20</t>
  </si>
  <si>
    <t>PedBerMedDisc!$D$21</t>
  </si>
  <si>
    <t>PedBerMedDisc!$D$22</t>
  </si>
  <si>
    <t>PedBerMedDisc!$D$23</t>
  </si>
  <si>
    <t>PedBerMedDisc!$D$24</t>
  </si>
  <si>
    <t>PedBerMedDisc!$D$25</t>
  </si>
  <si>
    <t>PedBerMedDisc!$D$26</t>
  </si>
  <si>
    <t>PedBerMedDisc!$D$27</t>
  </si>
  <si>
    <t>PedBerMedDisc!$D$28</t>
  </si>
  <si>
    <t>PedBerMedDisc!$D$29</t>
  </si>
  <si>
    <t>PedBerMedDisc!$D$30</t>
  </si>
  <si>
    <t>PedBerMedDisc!$D$31</t>
  </si>
  <si>
    <t>PedBerMedDisc!$U$2</t>
  </si>
  <si>
    <t>PedBerMedDisc!$U$3</t>
  </si>
  <si>
    <t>PedBerMedDisc!$U$4</t>
  </si>
  <si>
    <t>PedBerMedDisc!$U$5</t>
  </si>
  <si>
    <t>PedBerMedDisc!$U$6</t>
  </si>
  <si>
    <t>PedBerMedDisc!$U$7</t>
  </si>
  <si>
    <t>PedBerMedDisc!$U$8</t>
  </si>
  <si>
    <t>PedBerMedDisc!$U$9</t>
  </si>
  <si>
    <t>PedBerMedDisc!$U$10</t>
  </si>
  <si>
    <t>PedBerMedDisc!$U$11</t>
  </si>
  <si>
    <t>PedBerMedDisc!$U$12</t>
  </si>
  <si>
    <t>PedBerMedDisc!$U$13</t>
  </si>
  <si>
    <t>PedBerMedDisc!$U$14</t>
  </si>
  <si>
    <t>PedBerMedDisc!$U$15</t>
  </si>
  <si>
    <t>PedBerMedDisc!$U$16</t>
  </si>
  <si>
    <t>PedBerMedDisc!$U$17</t>
  </si>
  <si>
    <t>PedBerMedDisc!$U$18</t>
  </si>
  <si>
    <t>PedBerMedDisc!$U$19</t>
  </si>
  <si>
    <t>PedBerMedDisc!$U$20</t>
  </si>
  <si>
    <t>PedBerMedDisc!$U$21</t>
  </si>
  <si>
    <t>PedBerMedDisc!$U$22</t>
  </si>
  <si>
    <t>PedBerMedDisc!$U$23</t>
  </si>
  <si>
    <t>PedBerMedDisc!$U$24</t>
  </si>
  <si>
    <t>PedBerMedDisc!$U$25</t>
  </si>
  <si>
    <t>PedBerMedDisc!$U$26</t>
  </si>
  <si>
    <t>PedBerMedDisc!$U$27</t>
  </si>
  <si>
    <t>PedBerMedDisc!$U$28</t>
  </si>
  <si>
    <t>PedBerMedDisc!$U$29</t>
  </si>
  <si>
    <t>PedBerMedDisc!$U$30</t>
  </si>
  <si>
    <t>PedBerMedDisc!$U$31</t>
  </si>
  <si>
    <t>PedBerMedDisc!$B$2</t>
  </si>
  <si>
    <t>PedBerMedDisc!$B$3</t>
  </si>
  <si>
    <t>PedBerMedDisc!$B$4</t>
  </si>
  <si>
    <t>PedBerMedDisc!$B$5</t>
  </si>
  <si>
    <t>PedBerMedDisc!$B$6</t>
  </si>
  <si>
    <t>PedBerMedDisc!$B$7</t>
  </si>
  <si>
    <t>PedBerMedDisc!$B$8</t>
  </si>
  <si>
    <t>PedBerMedDisc!$B$9</t>
  </si>
  <si>
    <t>PedBerMedDisc!$B$10</t>
  </si>
  <si>
    <t>PedBerMedDisc!$B$11</t>
  </si>
  <si>
    <t>PedBerMedDisc!$B$12</t>
  </si>
  <si>
    <t>PedBerMedDisc!$B$13</t>
  </si>
  <si>
    <t>PedBerMedDisc!$B$14</t>
  </si>
  <si>
    <t>PedBerMedDisc!$B$15</t>
  </si>
  <si>
    <t>PedBerMedDisc!$B$16</t>
  </si>
  <si>
    <t>PedBerMedDisc!$B$17</t>
  </si>
  <si>
    <t>PedBerMedDisc!$B$18</t>
  </si>
  <si>
    <t>PedBerMedDisc!$B$19</t>
  </si>
  <si>
    <t>PedBerMedDisc!$B$20</t>
  </si>
  <si>
    <t>PedBerMedDisc!$B$21</t>
  </si>
  <si>
    <t>PedBerMedDisc!$B$22</t>
  </si>
  <si>
    <t>PedBerMedDisc!$B$23</t>
  </si>
  <si>
    <t>PedBerMedDisc!$B$24</t>
  </si>
  <si>
    <t>PedBerMedDisc!$B$25</t>
  </si>
  <si>
    <t>PedBerMedDisc!$B$26</t>
  </si>
  <si>
    <t>PedBerMedDisc!$B$27</t>
  </si>
  <si>
    <t>PedBerMedDisc!$B$28</t>
  </si>
  <si>
    <t>PedBerMedDisc!$B$29</t>
  </si>
  <si>
    <t>PedBerMedDisc!$B$30</t>
  </si>
  <si>
    <t>PedBerMedDisc!$B$31</t>
  </si>
  <si>
    <t>PedBerMedDisc!$Q$2</t>
  </si>
  <si>
    <t>PedBerMedDisc!$Q$3</t>
  </si>
  <si>
    <t>PedBerMedDisc!$Q$4</t>
  </si>
  <si>
    <t>PedBerMedDisc!$Q$5</t>
  </si>
  <si>
    <t>PedBerMedDisc!$Q$6</t>
  </si>
  <si>
    <t>PedBerMedDisc!$Q$7</t>
  </si>
  <si>
    <t>PedBerMedDisc!$Q$8</t>
  </si>
  <si>
    <t>PedBerMedDisc!$Q$9</t>
  </si>
  <si>
    <t>PedBerMedDisc!$Q$10</t>
  </si>
  <si>
    <t>PedBerMedDisc!$Q$11</t>
  </si>
  <si>
    <t>PedBerMedDisc!$Q$12</t>
  </si>
  <si>
    <t>PedBerMedDisc!$Q$13</t>
  </si>
  <si>
    <t>PedBerMedDisc!$Q$14</t>
  </si>
  <si>
    <t>PedBerMedDisc!$Q$15</t>
  </si>
  <si>
    <t>PedBerMedDisc!$Q$16</t>
  </si>
  <si>
    <t>PedBerMedDisc!$Q$17</t>
  </si>
  <si>
    <t>PedBerMedDisc!$Q$18</t>
  </si>
  <si>
    <t>PedBerMedDisc!$Q$19</t>
  </si>
  <si>
    <t>PedBerMedDisc!$Q$20</t>
  </si>
  <si>
    <t>PedBerMedDisc!$Q$21</t>
  </si>
  <si>
    <t>PedBerMedDisc!$Q$22</t>
  </si>
  <si>
    <t>PedBerMedDisc!$Q$23</t>
  </si>
  <si>
    <t>PedBerMedDisc!$Q$24</t>
  </si>
  <si>
    <t>PedBerMedDisc!$Q$25</t>
  </si>
  <si>
    <t>PedBerMedDisc!$Q$26</t>
  </si>
  <si>
    <t>PedBerMedDisc!$Q$27</t>
  </si>
  <si>
    <t>PedBerMedDisc!$Q$28</t>
  </si>
  <si>
    <t>PedBerMedDisc!$Q$29</t>
  </si>
  <si>
    <t>PedBerMedDisc!$Q$30</t>
  </si>
  <si>
    <t>PedBerMedDisc!$Q$31</t>
  </si>
  <si>
    <t>PedBerMedDisc!$C$2</t>
  </si>
  <si>
    <t>PedBerMedDisc!$C$3</t>
  </si>
  <si>
    <t>PedBerMedDisc!$C$4</t>
  </si>
  <si>
    <t>PedBerMedDisc!$C$5</t>
  </si>
  <si>
    <t>PedBerMedDisc!$C$6</t>
  </si>
  <si>
    <t>PedBerMedDisc!$C$7</t>
  </si>
  <si>
    <t>PedBerMedDisc!$C$8</t>
  </si>
  <si>
    <t>PedBerMedDisc!$C$9</t>
  </si>
  <si>
    <t>PedBerMedDisc!$C$10</t>
  </si>
  <si>
    <t>PedBerMedDisc!$C$11</t>
  </si>
  <si>
    <t>PedBerMedDisc!$C$12</t>
  </si>
  <si>
    <t>PedBerMedDisc!$C$13</t>
  </si>
  <si>
    <t>PedBerMedDisc!$C$14</t>
  </si>
  <si>
    <t>PedBerMedDisc!$C$15</t>
  </si>
  <si>
    <t>PedBerMedDisc!$C$16</t>
  </si>
  <si>
    <t>PedBerMedDisc!$C$17</t>
  </si>
  <si>
    <t>PedBerMedDisc!$C$18</t>
  </si>
  <si>
    <t>PedBerMedDisc!$C$19</t>
  </si>
  <si>
    <t>PedBerMedDisc!$C$20</t>
  </si>
  <si>
    <t>PedBerMedDisc!$C$21</t>
  </si>
  <si>
    <t>PedBerMedDisc!$C$22</t>
  </si>
  <si>
    <t>PedBerMedDisc!$C$23</t>
  </si>
  <si>
    <t>PedBerMedDisc!$C$24</t>
  </si>
  <si>
    <t>PedBerMedDisc!$C$25</t>
  </si>
  <si>
    <t>PedBerMedDisc!$C$26</t>
  </si>
  <si>
    <t>PedBerMedDisc!$C$27</t>
  </si>
  <si>
    <t>PedBerMedDisc!$C$28</t>
  </si>
  <si>
    <t>PedBerMedDisc!$C$29</t>
  </si>
  <si>
    <t>PedBerMedDisc!$C$30</t>
  </si>
  <si>
    <t>PedBerMedDisc!$C$31</t>
  </si>
  <si>
    <t>PedBerMedDisc!$O$2</t>
  </si>
  <si>
    <t>PedBerMedDisc!$O$3</t>
  </si>
  <si>
    <t>PedBerMedDisc!$O$4</t>
  </si>
  <si>
    <t>PedBerMedDisc!$O$5</t>
  </si>
  <si>
    <t>PedBerMedDisc!$O$6</t>
  </si>
  <si>
    <t>PedBerMedDisc!$O$7</t>
  </si>
  <si>
    <t>PedBerMedDisc!$O$8</t>
  </si>
  <si>
    <t>PedBerMedDisc!$O$9</t>
  </si>
  <si>
    <t>PedBerMedDisc!$O$10</t>
  </si>
  <si>
    <t>PedBerMedDisc!$O$11</t>
  </si>
  <si>
    <t>PedBerMedDisc!$O$12</t>
  </si>
  <si>
    <t>PedBerMedDisc!$O$13</t>
  </si>
  <si>
    <t>PedBerMedDisc!$O$14</t>
  </si>
  <si>
    <t>PedBerMedDisc!$O$15</t>
  </si>
  <si>
    <t>PedBerMedDisc!$O$16</t>
  </si>
  <si>
    <t>PedBerMedDisc!$O$17</t>
  </si>
  <si>
    <t>PedBerMedDisc!$O$18</t>
  </si>
  <si>
    <t>PedBerMedDisc!$O$19</t>
  </si>
  <si>
    <t>PedBerMedDisc!$O$20</t>
  </si>
  <si>
    <t>PedBerMedDisc!$O$21</t>
  </si>
  <si>
    <t>PedBerMedDisc!$O$22</t>
  </si>
  <si>
    <t>PedBerMedDisc!$O$23</t>
  </si>
  <si>
    <t>PedBerMedDisc!$O$24</t>
  </si>
  <si>
    <t>PedBerMedDisc!$O$25</t>
  </si>
  <si>
    <t>PedBerMedDisc!$O$26</t>
  </si>
  <si>
    <t>PedBerMedDisc!$O$27</t>
  </si>
  <si>
    <t>PedBerMedDisc!$O$28</t>
  </si>
  <si>
    <t>PedBerMedDisc!$O$29</t>
  </si>
  <si>
    <t>PedBerMedDisc!$O$30</t>
  </si>
  <si>
    <t>PedBerMedDisc!$O$31</t>
  </si>
  <si>
    <t>PedBerMedDisc!$N$2</t>
  </si>
  <si>
    <t>PedBerMedDisc!$N$3</t>
  </si>
  <si>
    <t>PedBerMedDisc!$N$4</t>
  </si>
  <si>
    <t>PedBerMedDisc!$N$5</t>
  </si>
  <si>
    <t>PedBerMedDisc!$N$6</t>
  </si>
  <si>
    <t>PedBerMedDisc!$N$7</t>
  </si>
  <si>
    <t>PedBerMedDisc!$N$8</t>
  </si>
  <si>
    <t>PedBerMedDisc!$N$9</t>
  </si>
  <si>
    <t>PedBerMedDisc!$N$10</t>
  </si>
  <si>
    <t>PedBerMedDisc!$N$11</t>
  </si>
  <si>
    <t>PedBerMedDisc!$N$12</t>
  </si>
  <si>
    <t>PedBerMedDisc!$N$13</t>
  </si>
  <si>
    <t>PedBerMedDisc!$N$14</t>
  </si>
  <si>
    <t>PedBerMedDisc!$N$15</t>
  </si>
  <si>
    <t>PedBerMedDisc!$N$16</t>
  </si>
  <si>
    <t>PedBerMedDisc!$N$17</t>
  </si>
  <si>
    <t>PedBerMedDisc!$N$18</t>
  </si>
  <si>
    <t>PedBerMedDisc!$N$19</t>
  </si>
  <si>
    <t>PedBerMedDisc!$N$20</t>
  </si>
  <si>
    <t>PedBerMedDisc!$N$21</t>
  </si>
  <si>
    <t>PedBerMedDisc!$N$22</t>
  </si>
  <si>
    <t>PedBerMedDisc!$N$23</t>
  </si>
  <si>
    <t>PedBerMedDisc!$N$24</t>
  </si>
  <si>
    <t>PedBerMedDisc!$N$25</t>
  </si>
  <si>
    <t>PedBerMedDisc!$N$26</t>
  </si>
  <si>
    <t>PedBerMedDisc!$N$27</t>
  </si>
  <si>
    <t>PedBerMedDisc!$N$28</t>
  </si>
  <si>
    <t>PedBerMedDisc!$N$29</t>
  </si>
  <si>
    <t>PedBerMedDisc!$N$30</t>
  </si>
  <si>
    <t>PedBerMedDisc!$N$31</t>
  </si>
  <si>
    <t>PedBerMedDisc!$E$2</t>
  </si>
  <si>
    <t>PedBerMedDisc!$E$3</t>
  </si>
  <si>
    <t>PedBerMedDisc!$E$4</t>
  </si>
  <si>
    <t>PedBerMedDisc!$E$5</t>
  </si>
  <si>
    <t>PedBerMedDisc!$E$6</t>
  </si>
  <si>
    <t>PedBerMedDisc!$E$7</t>
  </si>
  <si>
    <t>PedBerMedDisc!$E$8</t>
  </si>
  <si>
    <t>PedBerMedDisc!$E$9</t>
  </si>
  <si>
    <t>PedBerMedDisc!$E$10</t>
  </si>
  <si>
    <t>PedBerMedDisc!$E$11</t>
  </si>
  <si>
    <t>PedBerMedDisc!$E$12</t>
  </si>
  <si>
    <t>PedBerMedDisc!$E$13</t>
  </si>
  <si>
    <t>PedBerMedDisc!$E$14</t>
  </si>
  <si>
    <t>PedBerMedDisc!$E$15</t>
  </si>
  <si>
    <t>PedBerMedDisc!$E$16</t>
  </si>
  <si>
    <t>PedBerMedDisc!$E$17</t>
  </si>
  <si>
    <t>PedBerMedDisc!$E$18</t>
  </si>
  <si>
    <t>PedBerMedDisc!$E$19</t>
  </si>
  <si>
    <t>PedBerMedDisc!$E$20</t>
  </si>
  <si>
    <t>PedBerMedDisc!$E$21</t>
  </si>
  <si>
    <t>PedBerMedDisc!$E$22</t>
  </si>
  <si>
    <t>PedBerMedDisc!$E$23</t>
  </si>
  <si>
    <t>PedBerMedDisc!$E$24</t>
  </si>
  <si>
    <t>PedBerMedDisc!$E$25</t>
  </si>
  <si>
    <t>PedBerMedDisc!$E$26</t>
  </si>
  <si>
    <t>PedBerMedDisc!$E$27</t>
  </si>
  <si>
    <t>PedBerMedDisc!$E$28</t>
  </si>
  <si>
    <t>PedBerMedDisc!$E$29</t>
  </si>
  <si>
    <t>PedBerMedDisc!$E$30</t>
  </si>
  <si>
    <t>PedBerMedDisc!$E$31</t>
  </si>
  <si>
    <t>PedBerMedDisc!$AG$2</t>
  </si>
  <si>
    <t>PedBerMedDisc!$AG$3</t>
  </si>
  <si>
    <t>PedBerMedDisc!$AG$4</t>
  </si>
  <si>
    <t>PedBerMedDisc!$AG$5</t>
  </si>
  <si>
    <t>PedBerMedDisc!$AG$6</t>
  </si>
  <si>
    <t>PedBerMedDisc!$AG$7</t>
  </si>
  <si>
    <t>PedBerMedDisc!$AG$8</t>
  </si>
  <si>
    <t>PedBerMedDisc!$AG$9</t>
  </si>
  <si>
    <t>PedBerMedDisc!$AG$10</t>
  </si>
  <si>
    <t>PedBerMedDisc!$AG$11</t>
  </si>
  <si>
    <t>PedBerMedDisc!$AG$12</t>
  </si>
  <si>
    <t>PedBerMedDisc!$AG$13</t>
  </si>
  <si>
    <t>PedBerMedDisc!$AG$14</t>
  </si>
  <si>
    <t>PedBerMedDisc!$AG$15</t>
  </si>
  <si>
    <t>PedBerMedDisc!$AG$16</t>
  </si>
  <si>
    <t>PedBerMedDisc!$AG$17</t>
  </si>
  <si>
    <t>PedBerMedDisc!$AG$18</t>
  </si>
  <si>
    <t>PedBerMedDisc!$AG$19</t>
  </si>
  <si>
    <t>PedBerMedDisc!$AG$20</t>
  </si>
  <si>
    <t>PedBerMedDisc!$AG$21</t>
  </si>
  <si>
    <t>PedBerMedDisc!$AG$22</t>
  </si>
  <si>
    <t>PedBerMedDisc!$AG$23</t>
  </si>
  <si>
    <t>PedBerMedDisc!$AG$24</t>
  </si>
  <si>
    <t>PedBerMedDisc!$AG$25</t>
  </si>
  <si>
    <t>PedBerMedDisc!$AG$26</t>
  </si>
  <si>
    <t>PedBerMedDisc!$AG$27</t>
  </si>
  <si>
    <t>PedBerMedDisc!$AG$28</t>
  </si>
  <si>
    <t>PedBerMedDisc!$AG$29</t>
  </si>
  <si>
    <t>PedBerMedDisc!$AG$30</t>
  </si>
  <si>
    <t>PedBerMedDisc!$AG$31</t>
  </si>
  <si>
    <t>PedBerMedDisc!$AH$2</t>
  </si>
  <si>
    <t>PedBerMedDisc!$AH$3</t>
  </si>
  <si>
    <t>PedBerMedDisc!$AH$4</t>
  </si>
  <si>
    <t>PedBerMedDisc!$AH$5</t>
  </si>
  <si>
    <t>PedBerMedDisc!$AH$6</t>
  </si>
  <si>
    <t>PedBerMedDisc!$AH$7</t>
  </si>
  <si>
    <t>PedBerMedDisc!$AH$8</t>
  </si>
  <si>
    <t>PedBerMedDisc!$AH$9</t>
  </si>
  <si>
    <t>PedBerMedDisc!$AH$10</t>
  </si>
  <si>
    <t>PedBerMedDisc!$AH$11</t>
  </si>
  <si>
    <t>PedBerMedDisc!$AH$12</t>
  </si>
  <si>
    <t>PedBerMedDisc!$AH$13</t>
  </si>
  <si>
    <t>PedBerMedDisc!$AH$14</t>
  </si>
  <si>
    <t>PedBerMedDisc!$AH$15</t>
  </si>
  <si>
    <t>PedBerMedDisc!$AH$16</t>
  </si>
  <si>
    <t>PedBerMedDisc!$AH$17</t>
  </si>
  <si>
    <t>PedBerMedDisc!$AH$18</t>
  </si>
  <si>
    <t>PedBerMedDisc!$AH$19</t>
  </si>
  <si>
    <t>PedBerMedDisc!$AH$20</t>
  </si>
  <si>
    <t>PedBerMedDisc!$AH$21</t>
  </si>
  <si>
    <t>PedBerMedDisc!$AH$22</t>
  </si>
  <si>
    <t>PedBerMedDisc!$AH$23</t>
  </si>
  <si>
    <t>PedBerMedDisc!$AH$24</t>
  </si>
  <si>
    <t>PedBerMedDisc!$AH$25</t>
  </si>
  <si>
    <t>PedBerMedDisc!$AH$26</t>
  </si>
  <si>
    <t>PedBerMedDisc!$AH$27</t>
  </si>
  <si>
    <t>PedBerMedDisc!$AH$28</t>
  </si>
  <si>
    <t>PedBerMedDisc!$AH$29</t>
  </si>
  <si>
    <t>PedBerMedDisc!$AH$30</t>
  </si>
  <si>
    <t>PedBerMedDisc!$AH$31</t>
  </si>
  <si>
    <t>PedBerMedDisc!$I$2</t>
  </si>
  <si>
    <t>PedBerMedDisc!$I$3</t>
  </si>
  <si>
    <t>PedBerMedDisc!$I$4</t>
  </si>
  <si>
    <t>PedBerMedDisc!$I$5</t>
  </si>
  <si>
    <t>PedBerMedDisc!$I$6</t>
  </si>
  <si>
    <t>PedBerMedDisc!$I$7</t>
  </si>
  <si>
    <t>PedBerMedDisc!$I$8</t>
  </si>
  <si>
    <t>PedBerMedDisc!$I$9</t>
  </si>
  <si>
    <t>PedBerMedDisc!$I$10</t>
  </si>
  <si>
    <t>PedBerMedDisc!$I$11</t>
  </si>
  <si>
    <t>PedBerMedDisc!$I$12</t>
  </si>
  <si>
    <t>PedBerMedDisc!$I$13</t>
  </si>
  <si>
    <t>PedBerMedDisc!$I$14</t>
  </si>
  <si>
    <t>PedBerMedDisc!$I$15</t>
  </si>
  <si>
    <t>PedBerMedDisc!$I$16</t>
  </si>
  <si>
    <t>PedBerMedDisc!$I$17</t>
  </si>
  <si>
    <t>PedBerMedDisc!$I$18</t>
  </si>
  <si>
    <t>PedBerMedDisc!$I$19</t>
  </si>
  <si>
    <t>PedBerMedDisc!$I$20</t>
  </si>
  <si>
    <t>PedBerMedDisc!$I$21</t>
  </si>
  <si>
    <t>PedBerMedDisc!$I$22</t>
  </si>
  <si>
    <t>PedBerMedDisc!$I$23</t>
  </si>
  <si>
    <t>PedBerMedDisc!$I$24</t>
  </si>
  <si>
    <t>PedBerMedDisc!$I$25</t>
  </si>
  <si>
    <t>PedBerMedDisc!$I$26</t>
  </si>
  <si>
    <t>PedBerMedDisc!$I$27</t>
  </si>
  <si>
    <t>PedBerMedDisc!$I$28</t>
  </si>
  <si>
    <t>PedBerMedDisc!$I$29</t>
  </si>
  <si>
    <t>PedBerMedDisc!$I$30</t>
  </si>
  <si>
    <t>PedBerMedDisc!$I$31</t>
  </si>
  <si>
    <t>PedBerMedDisc!$L$2</t>
  </si>
  <si>
    <t>PedBerMedDisc!$L$3</t>
  </si>
  <si>
    <t>PedBerMedDisc!$L$4</t>
  </si>
  <si>
    <t>PedBerMedDisc!$L$5</t>
  </si>
  <si>
    <t>PedBerMedDisc!$L$6</t>
  </si>
  <si>
    <t>PedBerMedDisc!$L$7</t>
  </si>
  <si>
    <t>PedBerMedDisc!$L$8</t>
  </si>
  <si>
    <t>PedBerMedDisc!$L$9</t>
  </si>
  <si>
    <t>PedBerMedDisc!$L$10</t>
  </si>
  <si>
    <t>PedBerMedDisc!$L$11</t>
  </si>
  <si>
    <t>PedBerMedDisc!$L$12</t>
  </si>
  <si>
    <t>PedBerMedDisc!$L$13</t>
  </si>
  <si>
    <t>PedBerMedDisc!$L$14</t>
  </si>
  <si>
    <t>PedBerMedDisc!$L$15</t>
  </si>
  <si>
    <t>PedBerMedDisc!$L$16</t>
  </si>
  <si>
    <t>PedBerMedDisc!$L$17</t>
  </si>
  <si>
    <t>PedBerMedDisc!$L$18</t>
  </si>
  <si>
    <t>PedBerMedDisc!$L$19</t>
  </si>
  <si>
    <t>PedBerMedDisc!$L$20</t>
  </si>
  <si>
    <t>PedBerMedDisc!$L$21</t>
  </si>
  <si>
    <t>PedBerMedDisc!$L$22</t>
  </si>
  <si>
    <t>PedBerMedDisc!$L$23</t>
  </si>
  <si>
    <t>PedBerMedDisc!$L$24</t>
  </si>
  <si>
    <t>PedBerMedDisc!$L$25</t>
  </si>
  <si>
    <t>PedBerMedDisc!$L$26</t>
  </si>
  <si>
    <t>PedBerMedDisc!$L$27</t>
  </si>
  <si>
    <t>PedBerMedDisc!$L$28</t>
  </si>
  <si>
    <t>PedBerMedDisc!$L$29</t>
  </si>
  <si>
    <t>PedBerMedDisc!$L$30</t>
  </si>
  <si>
    <t>PedBerMedDisc!$L$31</t>
  </si>
  <si>
    <t>NeoBerIV!$D$45</t>
  </si>
  <si>
    <t>NeoBer1700!$D$45</t>
  </si>
  <si>
    <t>NeoBerIV!$D$11</t>
  </si>
  <si>
    <t>NeoBerIV!$D$13</t>
  </si>
  <si>
    <t>NeoBer1700!$D$11</t>
  </si>
  <si>
    <t>NeoBer1700!$D$13</t>
  </si>
  <si>
    <t>NeoBerIV!$D$16</t>
  </si>
  <si>
    <t>NeoBer1700!$D$16</t>
  </si>
  <si>
    <t>NeoBerIV!$D$35</t>
  </si>
  <si>
    <t>NeoBer1700!$D$35</t>
  </si>
  <si>
    <t>NeoBerIV!$D$38</t>
  </si>
  <si>
    <t>NeoBer1700!$D$38</t>
  </si>
  <si>
    <t>NeoBerIV!$B$20</t>
  </si>
  <si>
    <t>NeoBerIV!$B$21</t>
  </si>
  <si>
    <t>NeoBerIV!$B$22</t>
  </si>
  <si>
    <t>NeoBerIV!$B$23</t>
  </si>
  <si>
    <t>NeoBerIV!$B$24</t>
  </si>
  <si>
    <t>NeoBerIV!$B$25</t>
  </si>
  <si>
    <t>NeoBerIV!$B$26</t>
  </si>
  <si>
    <t>NeoBerIV!$B$27</t>
  </si>
  <si>
    <t>NeoBerIV!$B$28</t>
  </si>
  <si>
    <t>NeoBer1700!$B$20</t>
  </si>
  <si>
    <t>NeoBer1700!$B$21</t>
  </si>
  <si>
    <t>NeoBer1700!$B$22</t>
  </si>
  <si>
    <t>NeoBer1700!$B$23</t>
  </si>
  <si>
    <t>NeoBer1700!$B$24</t>
  </si>
  <si>
    <t>NeoBer1700!$B$25</t>
  </si>
  <si>
    <t>NeoBer1700!$B$26</t>
  </si>
  <si>
    <t>NeoBer1700!$B$27</t>
  </si>
  <si>
    <t>NeoBer1700!$B$28</t>
  </si>
  <si>
    <t>NeoBerIV!$C$20</t>
  </si>
  <si>
    <t>NeoBerIV!$C$21</t>
  </si>
  <si>
    <t>NeoBerIV!$C$22</t>
  </si>
  <si>
    <t>NeoBerIV!$C$23</t>
  </si>
  <si>
    <t>NeoBerIV!$C$24</t>
  </si>
  <si>
    <t>NeoBerIV!$C$25</t>
  </si>
  <si>
    <t>NeoBerIV!$C$26</t>
  </si>
  <si>
    <t>NeoBerIV!$C$27</t>
  </si>
  <si>
    <t>NeoBerIV!$C$28</t>
  </si>
  <si>
    <t>NeoBer1700!$C$20</t>
  </si>
  <si>
    <t>NeoBer1700!$C$21</t>
  </si>
  <si>
    <t>NeoBer1700!$C$22</t>
  </si>
  <si>
    <t>NeoBer1700!$C$23</t>
  </si>
  <si>
    <t>NeoBer1700!$C$24</t>
  </si>
  <si>
    <t>NeoBer1700!$C$25</t>
  </si>
  <si>
    <t>NeoBer1700!$C$26</t>
  </si>
  <si>
    <t>NeoBer1700!$C$27</t>
  </si>
  <si>
    <t>NeoBer1700!$C$28</t>
  </si>
  <si>
    <t>NeoBerIV!$B$32</t>
  </si>
  <si>
    <t>NeoBerIV!$B$33</t>
  </si>
  <si>
    <t>NeoBer1700!$B$32</t>
  </si>
  <si>
    <t>NeoBer1700!$B$33</t>
  </si>
  <si>
    <t>NeoBerIV!$D$40</t>
  </si>
  <si>
    <t>NeoBer1700!$D$40</t>
  </si>
  <si>
    <t>NeoBerIV!$D$37</t>
  </si>
  <si>
    <t>NeoBer1700!$D$37</t>
  </si>
  <si>
    <t>NeoBerIV!$B$90</t>
  </si>
  <si>
    <t>NeoBerIV!$B$99</t>
  </si>
  <si>
    <t>NeoBerIV!$B$100</t>
  </si>
  <si>
    <t>NeoBerIV!$B$101</t>
  </si>
  <si>
    <t>NeoBerIV!$B$102</t>
  </si>
  <si>
    <t>NeoBerIV!$B$103</t>
  </si>
  <si>
    <t>NeoBerIV!$B$104</t>
  </si>
  <si>
    <t>NeoBerIV!$B$105</t>
  </si>
  <si>
    <t>NeoBerIV!$B$106</t>
  </si>
  <si>
    <t>NeoBer1700!$B$90</t>
  </si>
  <si>
    <t>NeoBer1700!$B$99</t>
  </si>
  <si>
    <t>NeoBer1700!$B$100</t>
  </si>
  <si>
    <t>NeoBer1700!$B$101</t>
  </si>
  <si>
    <t>NeoBer1700!$B$102</t>
  </si>
  <si>
    <t>NeoBer1700!$B$103</t>
  </si>
  <si>
    <t>NeoBer1700!$B$104</t>
  </si>
  <si>
    <t>NeoBer1700!$B$105</t>
  </si>
  <si>
    <t>NeoBer1700!$B$106</t>
  </si>
  <si>
    <t>NeoBer1700!$B$107</t>
  </si>
  <si>
    <t>NeoBer1700!$B$108</t>
  </si>
  <si>
    <t>NeoBer1700!$B$91</t>
  </si>
  <si>
    <t>NeoBer1700!$B$109</t>
  </si>
  <si>
    <t>NeoBer1700!$B$110</t>
  </si>
  <si>
    <t>NeoBer1700!$B$111</t>
  </si>
  <si>
    <t>NeoBer1700!$B$112</t>
  </si>
  <si>
    <t>NeoBer1700!$B$113</t>
  </si>
  <si>
    <t>NeoBer1700!$B$114</t>
  </si>
  <si>
    <t>NeoBer1700!$B$115</t>
  </si>
  <si>
    <t>NeoBer1700!$B$116</t>
  </si>
  <si>
    <t>NeoBer1700!$B$92</t>
  </si>
  <si>
    <t>NeoBer1700!$B$93</t>
  </si>
  <si>
    <t>NeoBer1700!$B$94</t>
  </si>
  <si>
    <t>NeoBer1700!$B$95</t>
  </si>
  <si>
    <t>NeoBer1700!$B$96</t>
  </si>
  <si>
    <t>NeoBer1700!$B$97</t>
  </si>
  <si>
    <t>NeoBer1700!$B$98</t>
  </si>
  <si>
    <t>NeoBerIV!$B$107</t>
  </si>
  <si>
    <t>NeoBerIV!$B$108</t>
  </si>
  <si>
    <t>NeoBerIV!$B$91</t>
  </si>
  <si>
    <t>NeoBerIV!$B$109</t>
  </si>
  <si>
    <t>NeoBerIV!$B$110</t>
  </si>
  <si>
    <t>NeoBerIV!$B$111</t>
  </si>
  <si>
    <t>NeoBerIV!$B$112</t>
  </si>
  <si>
    <t>NeoBerIV!$B$113</t>
  </si>
  <si>
    <t>NeoBerIV!$B$114</t>
  </si>
  <si>
    <t>NeoBerIV!$B$115</t>
  </si>
  <si>
    <t>NeoBerIV!$B$116</t>
  </si>
  <si>
    <t>NeoBerIV!$B$92</t>
  </si>
  <si>
    <t>NeoBerIV!$B$93</t>
  </si>
  <si>
    <t>NeoBerIV!$B$94</t>
  </si>
  <si>
    <t>NeoBerIV!$B$95</t>
  </si>
  <si>
    <t>NeoBerIV!$B$96</t>
  </si>
  <si>
    <t>NeoBerIV!$B$97</t>
  </si>
  <si>
    <t>NeoBerIV!$B$98</t>
  </si>
  <si>
    <t>NeoBerIV!$B$73</t>
  </si>
  <si>
    <t>NeoBerIV!$B$82</t>
  </si>
  <si>
    <t>NeoBerIV!$B$83</t>
  </si>
  <si>
    <t>NeoBerIV!$B$84</t>
  </si>
  <si>
    <t>NeoBerIV!$B$85</t>
  </si>
  <si>
    <t>NeoBerIV!$B$86</t>
  </si>
  <si>
    <t>NeoBerIV!$B$87</t>
  </si>
  <si>
    <t>NeoBer1700!$B$73</t>
  </si>
  <si>
    <t>NeoBer1700!$B$82</t>
  </si>
  <si>
    <t>NeoBer1700!$B$83</t>
  </si>
  <si>
    <t>NeoBer1700!$B$84</t>
  </si>
  <si>
    <t>NeoBer1700!$B$85</t>
  </si>
  <si>
    <t>NeoBer1700!$B$86</t>
  </si>
  <si>
    <t>NeoBer1700!$B$87</t>
  </si>
  <si>
    <t>NeoBer1700!$B$74</t>
  </si>
  <si>
    <t>NeoBer1700!$B$75</t>
  </si>
  <si>
    <t>NeoBer1700!$B$76</t>
  </si>
  <si>
    <t>NeoBer1700!$B$77</t>
  </si>
  <si>
    <t>NeoBer1700!$B$78</t>
  </si>
  <si>
    <t>NeoBer1700!$B$79</t>
  </si>
  <si>
    <t>NeoBer1700!$B$80</t>
  </si>
  <si>
    <t>NeoBer1700!$B$81</t>
  </si>
  <si>
    <t>NeoBerIV!$B$74</t>
  </si>
  <si>
    <t>NeoBerIV!$B$75</t>
  </si>
  <si>
    <t>NeoBerIV!$B$76</t>
  </si>
  <si>
    <t>NeoBerIV!$B$77</t>
  </si>
  <si>
    <t>NeoBerIV!$B$78</t>
  </si>
  <si>
    <t>NeoBerIV!$B$79</t>
  </si>
  <si>
    <t>NeoBerIV!$B$80</t>
  </si>
  <si>
    <t>NeoBerIV!$B$81</t>
  </si>
  <si>
    <t>NeoBerIV!$D$43</t>
  </si>
  <si>
    <t>NeoBer1700!$D$43</t>
  </si>
  <si>
    <t>NeoBerIV!$D$20</t>
  </si>
  <si>
    <t>NeoBerIV!$D$21</t>
  </si>
  <si>
    <t>NeoBerIV!$D$22</t>
  </si>
  <si>
    <t>NeoBerIV!$D$23</t>
  </si>
  <si>
    <t>NeoBerIV!$D$24</t>
  </si>
  <si>
    <t>NeoBerIV!$D$25</t>
  </si>
  <si>
    <t>NeoBerIV!$D$26</t>
  </si>
  <si>
    <t>NeoBerIV!$D$27</t>
  </si>
  <si>
    <t>NeoBerIV!$D$28</t>
  </si>
  <si>
    <t>NeoBer1700!$D$20</t>
  </si>
  <si>
    <t>NeoBer1700!$D$21</t>
  </si>
  <si>
    <t>NeoBer1700!$D$22</t>
  </si>
  <si>
    <t>NeoBer1700!$D$23</t>
  </si>
  <si>
    <t>NeoBer1700!$D$24</t>
  </si>
  <si>
    <t>NeoBer1700!$D$25</t>
  </si>
  <si>
    <t>NeoBer1700!$D$26</t>
  </si>
  <si>
    <t>NeoBer1700!$D$27</t>
  </si>
  <si>
    <t>NeoBer1700!$D$28</t>
  </si>
  <si>
    <t>NeoBerIV!$E$20</t>
  </si>
  <si>
    <t>NeoBerIV!$E$29</t>
  </si>
  <si>
    <t>NeoBerIV!$E$30</t>
  </si>
  <si>
    <t>NeoBerIV!$E$31</t>
  </si>
  <si>
    <t>NeoBerIV!$E$21</t>
  </si>
  <si>
    <t>NeoBerIV!$E$22</t>
  </si>
  <si>
    <t>NeoBerIV!$E$23</t>
  </si>
  <si>
    <t>NeoBerIV!$E$24</t>
  </si>
  <si>
    <t>NeoBerIV!$E$25</t>
  </si>
  <si>
    <t>NeoBerIV!$E$26</t>
  </si>
  <si>
    <t>NeoBerIV!$E$27</t>
  </si>
  <si>
    <t>NeoBerIV!$E$28</t>
  </si>
  <si>
    <t>NeoBer1700!$E$20</t>
  </si>
  <si>
    <t>NeoBer1700!$E$29</t>
  </si>
  <si>
    <t>NeoBer1700!$E$30</t>
  </si>
  <si>
    <t>NeoBer1700!$E$31</t>
  </si>
  <si>
    <t>NeoBer1700!$E$21</t>
  </si>
  <si>
    <t>NeoBer1700!$E$22</t>
  </si>
  <si>
    <t>NeoBer1700!$E$23</t>
  </si>
  <si>
    <t>NeoBer1700!$E$24</t>
  </si>
  <si>
    <t>NeoBer1700!$E$25</t>
  </si>
  <si>
    <t>NeoBer1700!$E$26</t>
  </si>
  <si>
    <t>NeoBer1700!$E$27</t>
  </si>
  <si>
    <t>NeoBer1700!$E$28</t>
  </si>
  <si>
    <t>NeoBerIV!$B$17</t>
  </si>
  <si>
    <t>NeoBer1700!$B$17</t>
  </si>
  <si>
    <t>PedBerEnt!$J$2</t>
  </si>
  <si>
    <t>PedBerEnt!$J$3</t>
  </si>
  <si>
    <t>PedBerEnt!$J$4</t>
  </si>
  <si>
    <t>PedBerEnt!$J$5</t>
  </si>
  <si>
    <t>PedBerEnt!$N$2</t>
  </si>
  <si>
    <t>PedBerEnt!$N$3</t>
  </si>
  <si>
    <t>PedBerEnt!$N$4</t>
  </si>
  <si>
    <t>PedBerEnt!$N$5</t>
  </si>
  <si>
    <t>PedBerEnt!$O$2</t>
  </si>
  <si>
    <t>PedBerEnt!$H$2</t>
  </si>
  <si>
    <t>PedBerEnt!$H$3</t>
  </si>
  <si>
    <t>PedBerEnt!$H$4</t>
  </si>
  <si>
    <t>PedBerEnt!$H$5</t>
  </si>
  <si>
    <t>PedBerEnt!$H$6</t>
  </si>
  <si>
    <t>PedBerEnt!$H$7</t>
  </si>
  <si>
    <t>PedBerEnt!$H$8</t>
  </si>
  <si>
    <t>PedBerEnt!$H$9</t>
  </si>
  <si>
    <t>PedBerEnt!$H$10</t>
  </si>
  <si>
    <t>PedBerEnt!$H$11</t>
  </si>
  <si>
    <t>PedBerEnt!$H$12</t>
  </si>
  <si>
    <t>PedBerEnt!$H$13</t>
  </si>
  <si>
    <t>PedBerEnt!$K$2</t>
  </si>
  <si>
    <t>PedBerEnt!$K$3</t>
  </si>
  <si>
    <t>PedBerEnt!$K$4</t>
  </si>
  <si>
    <t>PedBerEnt!$K$5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</si>
  <si>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</si>
  <si>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</si>
  <si>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</si>
  <si>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</si>
  <si>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</si>
  <si>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</si>
  <si>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</si>
  <si>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</si>
  <si>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</si>
  <si>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</si>
  <si>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</si>
  <si>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</si>
  <si>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</si>
  <si>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</si>
  <si>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</si>
  <si>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</si>
  <si>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</si>
  <si>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</si>
  <si>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</si>
  <si>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</si>
  <si>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</si>
  <si>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</si>
  <si>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</si>
  <si>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</si>
  <si>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</si>
  <si>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</si>
  <si>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</si>
  <si>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</si>
  <si>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</si>
  <si>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</si>
  <si>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</si>
  <si>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</si>
  <si>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</si>
  <si>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</si>
  <si>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</si>
  <si>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</si>
  <si>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</si>
  <si>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</si>
  <si>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</si>
  <si>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</si>
  <si>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</si>
  <si>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</si>
  <si>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</si>
  <si>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</si>
  <si>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</si>
  <si>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</si>
  <si>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</si>
  <si>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</si>
  <si>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</si>
  <si>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</si>
  <si>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</si>
  <si>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</si>
  <si>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</si>
  <si>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</si>
  <si>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</si>
  <si>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</si>
  <si>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</si>
  <si>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</si>
  <si>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</si>
  <si>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</si>
  <si>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</si>
  <si>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</si>
  <si>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</si>
  <si>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</si>
  <si>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</si>
  <si>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</si>
  <si>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</si>
  <si>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</si>
  <si>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</si>
  <si>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</si>
  <si>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</si>
  <si>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</si>
  <si>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</si>
  <si>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</si>
  <si>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</si>
  <si>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</si>
  <si>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</si>
  <si>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</si>
  <si>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</si>
  <si>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</si>
  <si>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</si>
  <si>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</si>
  <si>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</si>
  <si>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</si>
  <si>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</si>
  <si>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</si>
  <si>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</si>
  <si>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</si>
  <si>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</si>
  <si>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</si>
  <si>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</si>
  <si>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</si>
  <si>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</si>
  <si>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</si>
  <si>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</si>
  <si>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</si>
  <si>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</si>
  <si>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</si>
  <si>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</si>
  <si>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</si>
  <si>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</si>
  <si>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</si>
  <si>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</si>
  <si>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</si>
  <si>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</si>
  <si>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</si>
  <si>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</si>
  <si>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</si>
  <si>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</si>
  <si>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</si>
  <si>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</si>
  <si>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</si>
  <si>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</si>
  <si>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</si>
  <si>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</si>
  <si>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</si>
  <si>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</si>
  <si>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</si>
  <si>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</si>
  <si>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</si>
  <si>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</si>
  <si>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</si>
  <si>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</si>
  <si>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</si>
  <si>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</si>
  <si>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</si>
  <si>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</si>
  <si>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</si>
  <si>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</si>
  <si>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</si>
  <si>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</si>
  <si>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</si>
  <si>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</si>
  <si>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</si>
  <si>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</si>
  <si>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</si>
  <si>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</si>
  <si>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</si>
  <si>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</si>
  <si>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</si>
  <si>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</si>
  <si>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</si>
  <si>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</si>
  <si>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</si>
  <si>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</si>
  <si>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</si>
  <si>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</si>
  <si>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</si>
  <si>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</si>
  <si>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</si>
  <si>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</si>
  <si>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</si>
  <si>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</si>
  <si>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</si>
  <si>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</si>
  <si>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</si>
  <si>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</si>
  <si>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</si>
  <si>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</si>
  <si>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</si>
  <si>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</si>
  <si>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</si>
  <si>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</si>
  <si>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PedBerMedIV!$B$3</t>
  </si>
  <si>
    <t>PedBerMedIV!$B$4</t>
  </si>
  <si>
    <t>PedBerMedIV!$B$5</t>
  </si>
  <si>
    <t>PedBerMedIV!$B$6</t>
  </si>
  <si>
    <t>PedBerMedIV!$B$7</t>
  </si>
  <si>
    <t>PedBerMedIV!$B$8</t>
  </si>
  <si>
    <t>PedBerMedIV!$B$9</t>
  </si>
  <si>
    <t>PedBerMedIV!$B$10</t>
  </si>
  <si>
    <t>PedBerMedIV!$B$11</t>
  </si>
  <si>
    <t>PedBerMedIV!$B$12</t>
  </si>
  <si>
    <t>PedBerMedIV!$B$13</t>
  </si>
  <si>
    <t>PedBerMedIV!$B$14</t>
  </si>
  <si>
    <t>PedBerMedIV!$B$15</t>
  </si>
  <si>
    <t>PedBerMedIV!$B$16</t>
  </si>
  <si>
    <t>PedBerMedIV!$B$17</t>
  </si>
  <si>
    <t>PedBerMedIV!$I$3</t>
  </si>
  <si>
    <t>PedBerMedIV!$I$4</t>
  </si>
  <si>
    <t>PedBerMedIV!$I$5</t>
  </si>
  <si>
    <t>PedBerMedIV!$I$6</t>
  </si>
  <si>
    <t>PedBerMedIV!$I$7</t>
  </si>
  <si>
    <t>PedBerMedIV!$I$8</t>
  </si>
  <si>
    <t>PedBerMedIV!$I$9</t>
  </si>
  <si>
    <t>PedBerMedIV!$I$10</t>
  </si>
  <si>
    <t>PedBerMedIV!$I$11</t>
  </si>
  <si>
    <t>PedBerMedIV!$I$12</t>
  </si>
  <si>
    <t>PedBerMedIV!$I$13</t>
  </si>
  <si>
    <t>PedBerMedIV!$I$14</t>
  </si>
  <si>
    <t>PedBerMedIV!$I$15</t>
  </si>
  <si>
    <t>PedBerMedIV!$I$16</t>
  </si>
  <si>
    <t>PedBerMedIV!$I$17</t>
  </si>
  <si>
    <t>PedBerMedIV!$E$3</t>
  </si>
  <si>
    <t>PedBerMedIV!$E$4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</si>
  <si>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</si>
  <si>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</si>
  <si>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</si>
  <si>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</si>
  <si>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</si>
  <si>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</si>
  <si>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</si>
  <si>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</si>
  <si>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</si>
  <si>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</si>
  <si>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</si>
  <si>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</si>
  <si>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</si>
  <si>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PedBerMedIV!$J$3</t>
  </si>
  <si>
    <t>PedBerMedIV!$J$4</t>
  </si>
  <si>
    <t>PedBerMedIV!$J$5</t>
  </si>
  <si>
    <t>PedBerMedIV!$J$6</t>
  </si>
  <si>
    <t>PedBerMedIV!$J$7</t>
  </si>
  <si>
    <t>PedBerMedIV!$J$8</t>
  </si>
  <si>
    <t>PedBerMedIV!$J$9</t>
  </si>
  <si>
    <t>PedBerMedIV!$J$10</t>
  </si>
  <si>
    <t>PedBerMedIV!$J$11</t>
  </si>
  <si>
    <t>PedBerMedIV!$J$12</t>
  </si>
  <si>
    <t>PedBerMedIV!$J$13</t>
  </si>
  <si>
    <t>PedBerMedIV!$J$14</t>
  </si>
  <si>
    <t>PedBerMedIV!$J$15</t>
  </si>
  <si>
    <t>PedBerMedIV!$J$16</t>
  </si>
  <si>
    <t>PedBerMedIV!$J$17</t>
  </si>
  <si>
    <t>PedBerMedIV!$D$3</t>
  </si>
  <si>
    <t>PedBerMedIV!$D$4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</si>
  <si>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</si>
  <si>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</si>
  <si>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</si>
  <si>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</si>
  <si>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</si>
  <si>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</si>
  <si>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</si>
  <si>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</si>
  <si>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</si>
  <si>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</si>
  <si>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</si>
  <si>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</si>
  <si>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</si>
  <si>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PedBerIVenPM!$D$2</t>
  </si>
  <si>
    <t>PedBerIVenPM!$G$2</t>
  </si>
  <si>
    <t>PedBerIVenPM!$G$5</t>
  </si>
  <si>
    <t>PedBerIVenPM!$G$4</t>
  </si>
  <si>
    <t>PedBerIVenPM!$G$1</t>
  </si>
  <si>
    <t>PedBerIVenPM!$E$2</t>
  </si>
  <si>
    <t>PedBerIVenPM!$G$3</t>
  </si>
  <si>
    <t>PedBerIVenPM!$G$6</t>
  </si>
  <si>
    <t>NeoBerIV!$K$52</t>
  </si>
  <si>
    <t>NeoBerIV!$K$53</t>
  </si>
  <si>
    <t>NeoBerIV!$K$54</t>
  </si>
  <si>
    <t>NeoBerIV!$K$55</t>
  </si>
  <si>
    <t>NeoBerIV!$K$56</t>
  </si>
  <si>
    <t>NeoBerIV!$K$58</t>
  </si>
  <si>
    <t>NeoBerIV!$K$59</t>
  </si>
  <si>
    <t>NeoBerIV!$K$60</t>
  </si>
  <si>
    <t>NeoBerIV!$K$61</t>
  </si>
  <si>
    <t>NeoBer1700!$K$52</t>
  </si>
  <si>
    <t>NeoBer1700!$K$53</t>
  </si>
  <si>
    <t>NeoBer1700!$K$54</t>
  </si>
  <si>
    <t>NeoBer1700!$K$55</t>
  </si>
  <si>
    <t>NeoBer1700!$K$56</t>
  </si>
  <si>
    <t>NeoBer1700!$K$58</t>
  </si>
  <si>
    <t>NeoBer1700!$K$59</t>
  </si>
  <si>
    <t>NeoBer1700!$K$60</t>
  </si>
  <si>
    <t>NeoBer1700!$K$61</t>
  </si>
  <si>
    <t>NeoBerIV!$D$42</t>
  </si>
  <si>
    <t>NeoBer1700!$D$42</t>
  </si>
  <si>
    <t>NeoBerIV!$D$41</t>
  </si>
  <si>
    <t>NeoBer1700!$D$41</t>
  </si>
  <si>
    <t>NeoBerIV!$D$44</t>
  </si>
  <si>
    <t>NeoBer1700!$D$44</t>
  </si>
  <si>
    <t>NeoBerIV!$F$20</t>
  </si>
  <si>
    <t>NeoBerIV!$F$29</t>
  </si>
  <si>
    <t>NeoBerIV!$F$30</t>
  </si>
  <si>
    <t>NeoBerIV!$F$31</t>
  </si>
  <si>
    <t>NeoBerIV!$F$21</t>
  </si>
  <si>
    <t>NeoBerIV!$F$22</t>
  </si>
  <si>
    <t>NeoBerIV!$F$23</t>
  </si>
  <si>
    <t>NeoBerIV!$F$24</t>
  </si>
  <si>
    <t>NeoBerIV!$F$25</t>
  </si>
  <si>
    <t>NeoBerIV!$F$26</t>
  </si>
  <si>
    <t>NeoBerIV!$F$27</t>
  </si>
  <si>
    <t>NeoBerIV!$F$28</t>
  </si>
  <si>
    <t>NeoBer1700!$F$20</t>
  </si>
  <si>
    <t>NeoBer1700!$F$29</t>
  </si>
  <si>
    <t>NeoBer1700!$F$30</t>
  </si>
  <si>
    <t>NeoBer1700!$F$31</t>
  </si>
  <si>
    <t>NeoBer1700!$F$21</t>
  </si>
  <si>
    <t>NeoBer1700!$F$22</t>
  </si>
  <si>
    <t>NeoBer1700!$F$23</t>
  </si>
  <si>
    <t>NeoBer1700!$F$24</t>
  </si>
  <si>
    <t>NeoBer1700!$F$25</t>
  </si>
  <si>
    <t>NeoBer1700!$F$26</t>
  </si>
  <si>
    <t>NeoBer1700!$F$27</t>
  </si>
  <si>
    <t>NeoBer1700!$F$28</t>
  </si>
  <si>
    <t>NeoBerIV!$A$63</t>
  </si>
  <si>
    <t>NeoBer1700!$A$63</t>
  </si>
  <si>
    <t>NeoBerIV!$B$52</t>
  </si>
  <si>
    <t>NeoBerIV!$B$53</t>
  </si>
  <si>
    <t>NeoBerIV!$B$54</t>
  </si>
  <si>
    <t>NeoBerIV!$B$55</t>
  </si>
  <si>
    <t>NeoBerIV!$B$56</t>
  </si>
  <si>
    <t>NeoBerIV!$B$58</t>
  </si>
  <si>
    <t>NeoBerIV!$B$59</t>
  </si>
  <si>
    <t>NeoBerIV!$B$60</t>
  </si>
  <si>
    <t>NeoBerIV!$B$61</t>
  </si>
  <si>
    <t>NeoBer1700!$B$52</t>
  </si>
  <si>
    <t>NeoBer1700!$B$53</t>
  </si>
  <si>
    <t>NeoBer1700!$B$54</t>
  </si>
  <si>
    <t>NeoBer1700!$B$55</t>
  </si>
  <si>
    <t>NeoBer1700!$B$56</t>
  </si>
  <si>
    <t>NeoBer1700!$B$58</t>
  </si>
  <si>
    <t>NeoBer1700!$B$59</t>
  </si>
  <si>
    <t>NeoBer1700!$B$60</t>
  </si>
  <si>
    <t>NeoBer1700!$B$61</t>
  </si>
  <si>
    <t>NeoBerIV!$D$14</t>
  </si>
  <si>
    <t>NeoBer1700!$D$14</t>
  </si>
  <si>
    <t>NeoTblLijst!$AB$3:$AB$5</t>
  </si>
  <si>
    <t>NeoTblLijst!$M$51:$Y$52</t>
  </si>
  <si>
    <t>NeoTblLijst!$L$44:$Y$48</t>
  </si>
  <si>
    <t>NeoTblLijst!$L$33:$Y$39</t>
  </si>
  <si>
    <t>NeoTblLijst!$AC$3:$AC$13</t>
  </si>
  <si>
    <t>NeoBerIV!$D$4</t>
  </si>
  <si>
    <t>NeoPrtWerkbrAct!$N$6</t>
  </si>
  <si>
    <t>NeoPrtWerkbrAct!$M$6</t>
  </si>
  <si>
    <t>NeoPrtWerkbrAct!$A$6</t>
  </si>
  <si>
    <t>NeoPrtWerkbrAct!$C$6</t>
  </si>
  <si>
    <t>NeoPrtWerkbrAct!$N$10</t>
  </si>
  <si>
    <t>NeoPrtWerkbrAct!$M$10</t>
  </si>
  <si>
    <t>NeoPrtWerkbrAct!$H$10</t>
  </si>
  <si>
    <t>NeoPrtWerkbrAct!$N$16</t>
  </si>
  <si>
    <t>NeoPrtWerkbrAct!$M$16</t>
  </si>
  <si>
    <t>NeoPrtWerkbrAct!$H$16</t>
  </si>
  <si>
    <t>NeoPrtWerkbrAct!$N$9</t>
  </si>
  <si>
    <t>NeoPrtWerkbrAct!$M$9</t>
  </si>
  <si>
    <t>NeoPrtWerkbrAct!$H$9</t>
  </si>
  <si>
    <t>NeoPrtWerkbrAct!$N$11</t>
  </si>
  <si>
    <t>NeoPrtWerkbrAct!$M$11</t>
  </si>
  <si>
    <t>NeoPrtWerkbrAct!$H$11</t>
  </si>
  <si>
    <t>NeoPrtWerkbrAct!$N$8</t>
  </si>
  <si>
    <t>NeoPrtWerkbrAct!$M$8</t>
  </si>
  <si>
    <t>NeoPrtWerkbrAct!$H$8</t>
  </si>
  <si>
    <t>NeoPrtWerkbrAct!$N$14</t>
  </si>
  <si>
    <t>NeoPrtWerkbrAct!$M$14</t>
  </si>
  <si>
    <t>NeoPrtWerkbrAct!$H$14</t>
  </si>
  <si>
    <t>NeoPrtWerkbrAct!$N$13</t>
  </si>
  <si>
    <t>NeoPrtWerkbrAct!$M$13</t>
  </si>
  <si>
    <t>NeoPrtWerkbrAct!$H$13</t>
  </si>
  <si>
    <t>NeoPrtWerkbrAct!$N$15</t>
  </si>
  <si>
    <t>NeoPrtWerkbrAct!$M$15</t>
  </si>
  <si>
    <t>NeoPrtWerkbrAct!$H$15</t>
  </si>
  <si>
    <t>NeoPrtWerkbrAct!$N$12</t>
  </si>
  <si>
    <t>NeoPrtWerkbrAct!$M$12</t>
  </si>
  <si>
    <t>NeoPrtWerkbrAct!$H$12</t>
  </si>
  <si>
    <t>NeoPrtWerkbrAct!$A$8</t>
  </si>
  <si>
    <t>NeoPrtWerkbrAct!$N$17</t>
  </si>
  <si>
    <t>NeoPrtWerkbrAct!$M$17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</si>
  <si>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</si>
  <si>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</si>
  <si>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</si>
  <si>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</si>
  <si>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</si>
  <si>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</si>
  <si>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</si>
  <si>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</si>
  <si>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</si>
  <si>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</si>
  <si>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</si>
  <si>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</si>
  <si>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</si>
  <si>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</si>
  <si>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</si>
  <si>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</si>
  <si>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</si>
  <si>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</si>
  <si>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</si>
  <si>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</si>
  <si>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</si>
  <si>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</si>
  <si>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</si>
  <si>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</si>
  <si>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</si>
  <si>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</si>
  <si>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</si>
  <si>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</si>
  <si>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</si>
  <si>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</si>
  <si>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</si>
  <si>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</si>
  <si>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</si>
  <si>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</si>
  <si>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PedTblAfsprExtra!$A$2:$A$5</t>
  </si>
  <si>
    <t>PedTblAfsprExtra!$J$2:$J$5</t>
  </si>
  <si>
    <t>PedTblAfsprExtra!$E$2:$E$6</t>
  </si>
  <si>
    <t>PedBerExtraAfspr!$F$17</t>
  </si>
  <si>
    <t>PedTblAfsprExtra!$I$2:$I$5</t>
  </si>
  <si>
    <t>PedTblAfsprExtra!$B$2:$B$8</t>
  </si>
  <si>
    <t>PedTblAfsprExtra!$C$2:$C$6</t>
  </si>
  <si>
    <t>PedTblAfsprExtra!$D$2:$D$5</t>
  </si>
  <si>
    <t>PedBerExtraAfspr!$H$18</t>
  </si>
  <si>
    <t>PedTblAfsprExtra!$G$2:$H$98</t>
  </si>
  <si>
    <t>PedTblAfsprExtra!$F$2:$F$6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</si>
  <si>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</si>
  <si>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</si>
  <si>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</si>
  <si>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</si>
  <si>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</si>
  <si>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</si>
  <si>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</si>
  <si>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</si>
  <si>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</si>
  <si>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</si>
  <si>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</si>
  <si>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</si>
  <si>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</si>
  <si>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</si>
  <si>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</si>
  <si>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</si>
  <si>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</si>
  <si>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</si>
  <si>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</si>
  <si>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</si>
  <si>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</si>
  <si>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</si>
  <si>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</si>
  <si>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</si>
  <si>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</si>
  <si>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</si>
  <si>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</si>
  <si>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</si>
  <si>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</si>
  <si>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</si>
  <si>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</si>
  <si>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</si>
  <si>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</si>
  <si>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</si>
  <si>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</si>
  <si>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</si>
  <si>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</si>
  <si>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</si>
  <si>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</si>
  <si>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</si>
  <si>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</si>
  <si>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</si>
  <si>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</si>
  <si>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</si>
  <si>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</si>
  <si>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</si>
  <si>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</si>
  <si>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</si>
  <si>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</si>
  <si>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</si>
  <si>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</si>
  <si>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</si>
  <si>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</si>
  <si>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</si>
  <si>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</si>
  <si>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</si>
  <si>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</si>
  <si>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</si>
  <si>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</si>
  <si>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</si>
  <si>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</si>
  <si>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</si>
  <si>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</si>
  <si>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</si>
  <si>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</si>
  <si>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</si>
  <si>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</si>
  <si>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</si>
  <si>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</si>
  <si>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</si>
  <si>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</si>
  <si>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</si>
  <si>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</si>
  <si>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</si>
  <si>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</si>
  <si>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</si>
  <si>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</si>
  <si>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</si>
  <si>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</si>
  <si>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</si>
  <si>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</si>
  <si>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</si>
  <si>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</si>
  <si>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</si>
  <si>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</si>
  <si>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</si>
  <si>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</si>
  <si>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</si>
  <si>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</si>
  <si>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</si>
  <si>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</si>
  <si>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</si>
  <si>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</si>
  <si>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</si>
  <si>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</si>
  <si>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</si>
  <si>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</si>
  <si>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</si>
  <si>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</si>
  <si>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</si>
  <si>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</si>
  <si>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</si>
  <si>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</si>
  <si>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</si>
  <si>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</si>
  <si>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</si>
  <si>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</si>
  <si>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</si>
  <si>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</si>
  <si>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</si>
  <si>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</si>
  <si>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</si>
  <si>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PedBerExtraAfspr!$D$11</t>
  </si>
  <si>
    <t>PedBerExtraAfspr!$D$12</t>
  </si>
  <si>
    <t>PedBerExtraAfspr!$D$13</t>
  </si>
  <si>
    <t>PedBerExtraAfspr!$D$14</t>
  </si>
  <si>
    <t>PedBerExtraAfspr!$B$10</t>
  </si>
  <si>
    <t>PedBerExtraAfspr!$F$7</t>
  </si>
  <si>
    <t>PedBerExtraAfspr!$B$20</t>
  </si>
  <si>
    <t>PedBerExtraAfspr!$F$10</t>
  </si>
  <si>
    <t>PedBerExtraAfspr!$B$21</t>
  </si>
  <si>
    <t>PedBerExtraAfspr!$F$12</t>
  </si>
  <si>
    <t>PedBerExtraAfspr!$B$42</t>
  </si>
  <si>
    <t>PedBerExtraAfspr!$B$7</t>
  </si>
  <si>
    <t>PedBerExtraAfspr!$F$15</t>
  </si>
  <si>
    <t>PedBerExtraAfspr!$F$13</t>
  </si>
  <si>
    <t>PedBerExtraAfspr!$B$24</t>
  </si>
  <si>
    <t>PedBerExtraAfspr!$B$8</t>
  </si>
  <si>
    <t>PedBerExtraAfspr!$B$39</t>
  </si>
  <si>
    <t>PedBerExtraAfspr!$F$16</t>
  </si>
  <si>
    <t>PedBerExtraAfspr!$F$9</t>
  </si>
  <si>
    <t>PedBerExtraAfspr!$B$11</t>
  </si>
  <si>
    <t>PedBerExtraAfspr!$B$15</t>
  </si>
  <si>
    <t>PedBerExtraAfspr!$B$22</t>
  </si>
  <si>
    <t>PedBerExtraAfspr!$B$23</t>
  </si>
  <si>
    <t>PedBerExtraAfspr!$F$11</t>
  </si>
  <si>
    <t>PedBerExtraAfspr!$B$36</t>
  </si>
  <si>
    <t>PedBerExtraAfspr!$D$36</t>
  </si>
  <si>
    <t>PedBerExtraAfspr!$B$37</t>
  </si>
  <si>
    <t>PedBerExtraAfspr!$D$37</t>
  </si>
  <si>
    <t>PedBerExtraAfspr!$B$43</t>
  </si>
  <si>
    <t>PedBerExtraAfspr!$B$38</t>
  </si>
  <si>
    <t>PedBerExtraAfspr!$D$38</t>
  </si>
  <si>
    <t>PedBerExtraAfspr!$B$16</t>
  </si>
  <si>
    <t>PedBerExtraAfspr!$B$17</t>
  </si>
  <si>
    <t>PedBerExtraAfspr!$B$9</t>
  </si>
  <si>
    <t>PedBerExtraAfspr!$B$44</t>
  </si>
  <si>
    <t>PedBerExtraAfspr!$B$27</t>
  </si>
  <si>
    <t>PedBerExtraAfspr!$B$30</t>
  </si>
  <si>
    <t>PedBerExtraAfspr!$B$33</t>
  </si>
  <si>
    <t>PedBerExtraAfspr!$B$25</t>
  </si>
  <si>
    <t>PedBerExtraAfspr!$F$8</t>
  </si>
  <si>
    <t>PedBerExtraAfspr!$F$18</t>
  </si>
  <si>
    <t>PedBerExtraAfspr!$F$14</t>
  </si>
  <si>
    <t>PedBerExtraAfspr!$C$42</t>
  </si>
  <si>
    <t>PedBerExtraAfspr!$C$7</t>
  </si>
  <si>
    <t>PedBerExtraAfspr!$D$7</t>
  </si>
  <si>
    <t>PedBerExtraAfspr!$C$8</t>
  </si>
  <si>
    <t>PedBerExtraAfspr!$D$8</t>
  </si>
  <si>
    <t>PedBerExtraAfspr!$D$40</t>
  </si>
  <si>
    <t>PedBerExtraAfspr!$D$39</t>
  </si>
  <si>
    <t>PedBerExtraAfspr!$G$16</t>
  </si>
  <si>
    <t>PedBerExtraAfspr!$B$12</t>
  </si>
  <si>
    <t>PedBerExtraAfspr!$C$9</t>
  </si>
  <si>
    <t>PedBerExtraAfspr!$D$9</t>
  </si>
  <si>
    <t>PedBerExtraAfspr!$D$29</t>
  </si>
  <si>
    <t>PedBerExtraAfspr!$D$27</t>
  </si>
  <si>
    <t>PedBerExtraAfspr!$D$28</t>
  </si>
  <si>
    <t>PedBerExtraAfspr!$D$32</t>
  </si>
  <si>
    <t>PedBerExtraAfspr!$D$30</t>
  </si>
  <si>
    <t>PedBerExtraAfspr!$D$31</t>
  </si>
  <si>
    <t>PedBerExtraAfspr!$D$35</t>
  </si>
  <si>
    <t>PedBerExtraAfspr!$D$33</t>
  </si>
  <si>
    <t>PedBerExtraAfspr!$D$34</t>
  </si>
  <si>
    <t>PedBerExtraAfspr!$G$18</t>
  </si>
  <si>
    <t>PatDetails!$B$2</t>
  </si>
  <si>
    <t>PatDetails!$I$2</t>
  </si>
  <si>
    <t>NeoBerAfspr!$B$56</t>
  </si>
  <si>
    <t>NeoBerAfspr!$B$58</t>
  </si>
  <si>
    <t>NeoBerAfspr!$B$59</t>
  </si>
  <si>
    <t>PedBerExtraAfspr!$B$47</t>
  </si>
  <si>
    <t>PedBerExtraAfspr!$B$49</t>
  </si>
  <si>
    <t>PedBerExtraAfspr!$B$48</t>
  </si>
  <si>
    <t>PedBerExtraAfspr!$B$50</t>
  </si>
  <si>
    <t>PedBerTPN!$C$9</t>
  </si>
  <si>
    <t>PedBerTPN!$E$9</t>
  </si>
  <si>
    <t>NeoBerIV!$B$6</t>
  </si>
  <si>
    <t>NeoTblLijst!$J$3:$K$11</t>
  </si>
  <si>
    <t>NeoTblLijst!$K$3:$K$8</t>
  </si>
  <si>
    <t>PatDetails!$G$2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</si>
  <si>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</si>
  <si>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</si>
  <si>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</si>
  <si>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</si>
  <si>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</si>
  <si>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</si>
  <si>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</si>
  <si>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</si>
  <si>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</si>
  <si>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</si>
  <si>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</si>
  <si>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</si>
  <si>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</si>
  <si>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</si>
  <si>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</si>
  <si>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</si>
  <si>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</si>
  <si>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</si>
  <si>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</si>
  <si>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</si>
  <si>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</si>
  <si>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</si>
  <si>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</si>
  <si>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</si>
  <si>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</si>
  <si>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</si>
  <si>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</si>
  <si>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</si>
  <si>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</si>
  <si>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</si>
  <si>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</si>
  <si>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</si>
  <si>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</si>
  <si>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</si>
  <si>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</si>
  <si>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</si>
  <si>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</si>
  <si>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</si>
  <si>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</si>
  <si>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</si>
  <si>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</si>
  <si>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</si>
  <si>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</si>
  <si>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</si>
  <si>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</si>
  <si>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</si>
  <si>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</si>
  <si>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</si>
  <si>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</si>
  <si>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</si>
  <si>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</si>
  <si>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</si>
  <si>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</si>
  <si>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</si>
  <si>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</si>
  <si>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</si>
  <si>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</si>
  <si>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</si>
  <si>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</si>
  <si>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</si>
  <si>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</si>
  <si>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</si>
  <si>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</si>
  <si>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</si>
  <si>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</si>
  <si>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</si>
  <si>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</si>
  <si>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</si>
  <si>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</si>
  <si>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</si>
  <si>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</si>
  <si>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</si>
  <si>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</si>
  <si>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</si>
  <si>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</si>
  <si>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</si>
  <si>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</si>
  <si>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</si>
  <si>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</si>
  <si>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</si>
  <si>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</si>
  <si>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</si>
  <si>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</si>
  <si>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</si>
  <si>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</si>
  <si>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</si>
  <si>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</si>
  <si>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</si>
  <si>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</si>
  <si>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</si>
  <si>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</si>
  <si>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</si>
  <si>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</si>
  <si>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</si>
  <si>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</si>
  <si>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</si>
  <si>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</si>
  <si>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</si>
  <si>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</si>
  <si>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</si>
  <si>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</si>
  <si>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</si>
  <si>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</si>
  <si>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</si>
  <si>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</si>
  <si>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</si>
  <si>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</si>
  <si>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</si>
  <si>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</si>
  <si>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</si>
  <si>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</si>
  <si>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</si>
  <si>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</si>
  <si>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</si>
  <si>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</si>
  <si>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</si>
  <si>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</si>
  <si>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</si>
  <si>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</si>
  <si>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</si>
  <si>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</si>
  <si>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</si>
  <si>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</si>
  <si>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</si>
  <si>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</si>
  <si>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</si>
  <si>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</si>
  <si>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</si>
  <si>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</si>
  <si>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</si>
  <si>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</si>
  <si>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</si>
  <si>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</si>
  <si>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</si>
  <si>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</si>
  <si>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</si>
  <si>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</si>
  <si>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</si>
  <si>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</si>
  <si>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</si>
  <si>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</si>
  <si>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</si>
  <si>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</si>
  <si>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</si>
  <si>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</si>
  <si>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</si>
  <si>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</si>
  <si>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</si>
  <si>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</si>
  <si>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</si>
  <si>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</si>
  <si>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</si>
  <si>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</si>
  <si>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</si>
  <si>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</si>
  <si>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</si>
  <si>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</si>
  <si>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</si>
  <si>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</si>
  <si>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</si>
  <si>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</si>
  <si>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</si>
  <si>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</si>
  <si>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</si>
  <si>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</si>
  <si>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</si>
  <si>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</si>
  <si>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</si>
  <si>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</si>
  <si>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</si>
  <si>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</si>
  <si>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</si>
  <si>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</si>
  <si>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</si>
  <si>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</si>
  <si>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</si>
  <si>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</si>
  <si>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</si>
  <si>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</si>
  <si>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</si>
  <si>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</si>
  <si>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</si>
  <si>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</si>
  <si>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</si>
  <si>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</si>
  <si>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</si>
  <si>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</si>
  <si>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</si>
  <si>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</si>
  <si>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</si>
  <si>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</si>
  <si>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</si>
  <si>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</si>
  <si>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</si>
  <si>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</si>
  <si>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</si>
  <si>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</si>
  <si>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</si>
  <si>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</si>
  <si>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</si>
  <si>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</si>
  <si>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</si>
  <si>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</si>
  <si>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</si>
  <si>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</si>
  <si>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</si>
  <si>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</si>
  <si>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</si>
  <si>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</si>
  <si>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</si>
  <si>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</si>
  <si>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</si>
  <si>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</si>
  <si>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</si>
  <si>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</si>
  <si>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</si>
  <si>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</si>
  <si>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</si>
  <si>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</si>
  <si>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</si>
  <si>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</si>
  <si>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</si>
  <si>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</si>
  <si>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</si>
  <si>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</si>
  <si>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</si>
  <si>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</si>
  <si>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</si>
  <si>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</si>
  <si>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</si>
  <si>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</si>
  <si>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</si>
  <si>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</si>
  <si>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</si>
  <si>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</si>
  <si>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</si>
  <si>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</si>
  <si>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</si>
  <si>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</si>
  <si>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</si>
  <si>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</si>
  <si>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</si>
  <si>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</si>
  <si>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</si>
  <si>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</si>
  <si>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</si>
  <si>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</si>
  <si>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</si>
  <si>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</si>
  <si>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</si>
  <si>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</si>
  <si>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</si>
  <si>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</si>
  <si>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</si>
  <si>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</si>
  <si>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</si>
  <si>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</si>
  <si>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</si>
  <si>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</si>
  <si>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</si>
  <si>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</si>
  <si>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</si>
  <si>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</si>
  <si>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</si>
  <si>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</si>
  <si>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</si>
  <si>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</si>
  <si>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</si>
  <si>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</si>
  <si>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</si>
  <si>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</si>
  <si>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</si>
  <si>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</si>
  <si>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</si>
  <si>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</si>
  <si>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</si>
  <si>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</si>
  <si>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</si>
  <si>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</si>
  <si>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</si>
  <si>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</si>
  <si>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</si>
  <si>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</si>
  <si>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</si>
  <si>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</si>
  <si>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</si>
  <si>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</si>
  <si>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PatDetails!$H$2</t>
  </si>
  <si>
    <t>NeoTblLijst!$M$44:$Y$48</t>
  </si>
  <si>
    <t>NeoTblLijst!$M$33:$Y$39</t>
  </si>
  <si>
    <t>NeoTblLijst!$M$3:$Z$19</t>
  </si>
  <si>
    <t>NeoTblLijst!$M$43:$Y$48</t>
  </si>
  <si>
    <t>NeoTblLijst!$M$32:$Y$39</t>
  </si>
  <si>
    <t>NeoTblLijst!$M$2:$Z$19</t>
  </si>
  <si>
    <t>NeoTblLijst!$AE$3:$AE$4</t>
  </si>
  <si>
    <t>NeoTblLijst!$L$44:$L$48</t>
  </si>
  <si>
    <t>NeoTblLijst!$L$33:$L$39</t>
  </si>
  <si>
    <t>PedBerTPN!$D$12</t>
  </si>
  <si>
    <t>NeoTblMedIV!$B$2:$K$26</t>
  </si>
  <si>
    <t>PedBerTPN!$C$10</t>
  </si>
  <si>
    <t>PedBerTPN!$E$10</t>
  </si>
  <si>
    <t>PedBerTPN!$C$7</t>
  </si>
  <si>
    <t>PedBerTPN!$C$21</t>
  </si>
  <si>
    <t>PedBerTPN!$E$7</t>
  </si>
  <si>
    <t>PedBerTPN!$E$21</t>
  </si>
  <si>
    <t>NeoTblLijst!$A$3:$H$18</t>
  </si>
  <si>
    <t>GlobBerOpm!$C$2</t>
  </si>
  <si>
    <t>GlobBerOpm!$C$11</t>
  </si>
  <si>
    <t>GlobBerOpm!$C$12</t>
  </si>
  <si>
    <t>GlobBerOpm!$C$13</t>
  </si>
  <si>
    <t>GlobBerOpm!$C$14</t>
  </si>
  <si>
    <t>GlobBerOpm!$C$15</t>
  </si>
  <si>
    <t>GlobBerOpm!$C$36</t>
  </si>
  <si>
    <t>GlobBerOpm!$C$3</t>
  </si>
  <si>
    <t>GlobBerOpm!$C$4</t>
  </si>
  <si>
    <t>GlobBerOpm!$C$5</t>
  </si>
  <si>
    <t>GlobBerOpm!$C$6</t>
  </si>
  <si>
    <t>GlobBerOpm!$C$7</t>
  </si>
  <si>
    <t>GlobBerOpm!$C$8</t>
  </si>
  <si>
    <t>GlobBerOpm!$C$9</t>
  </si>
  <si>
    <t>GlobBerOpm!$C$10</t>
  </si>
  <si>
    <t>GlobBerOpm!$C$16</t>
  </si>
  <si>
    <t>GlobBerOpm!$C$25</t>
  </si>
  <si>
    <t>GlobBerOpm!$C$26</t>
  </si>
  <si>
    <t>GlobBerOpm!$C$27</t>
  </si>
  <si>
    <t>GlobBerOpm!$C$28</t>
  </si>
  <si>
    <t>GlobBerOpm!$C$29</t>
  </si>
  <si>
    <t>GlobBerOpm!$C$30</t>
  </si>
  <si>
    <t>GlobBerOpm!$C$31</t>
  </si>
  <si>
    <t>GlobBerOpm!$C$32</t>
  </si>
  <si>
    <t>GlobBerOpm!$C$33</t>
  </si>
  <si>
    <t>GlobBerOpm!$C$34</t>
  </si>
  <si>
    <t>GlobBerOpm!$C$17</t>
  </si>
  <si>
    <t>GlobBerOpm!$C$35</t>
  </si>
  <si>
    <t>GlobBerOpm!$C$18</t>
  </si>
  <si>
    <t>GlobBerOpm!$C$19</t>
  </si>
  <si>
    <t>GlobBerOpm!$C$20</t>
  </si>
  <si>
    <t>GlobBerOpm!$C$21</t>
  </si>
  <si>
    <t>GlobBerOpm!$C$22</t>
  </si>
  <si>
    <t>GlobBerOpm!$C$23</t>
  </si>
  <si>
    <t>GlobBerOpm!$C$24</t>
  </si>
  <si>
    <t>PatDetails!$C$2</t>
  </si>
  <si>
    <t>PedBerTPN!$E$5</t>
  </si>
  <si>
    <t>PedBerIVenPM!$G$1:$G$6</t>
  </si>
  <si>
    <t>PedBerIVenPM!$H$1:$H$6</t>
  </si>
  <si>
    <t>NeoTblLijst!$M$3:$Y$19</t>
  </si>
  <si>
    <t>NeoGuiAcuut!$B$2:$G$31</t>
  </si>
  <si>
    <t>NeoPrtAfspr!$A$1:$Q$68</t>
  </si>
  <si>
    <t>NeoPrtApoth!$A$1:$Q$63</t>
  </si>
  <si>
    <t>NeoPrtMedDisc!$B$1:$AG$22</t>
  </si>
  <si>
    <t>NeoPrtWerkbr!$A$1:$P$55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</si>
  <si>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</si>
  <si>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</si>
  <si>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</si>
  <si>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</si>
  <si>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</si>
  <si>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</si>
  <si>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</si>
  <si>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</si>
  <si>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</si>
  <si>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</si>
  <si>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</si>
  <si>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ExtraAfspr!$B$7,PedBerExtraAfspr!$B$8,PedBerExtraAfspr!$B$9,PedBerExtraAfspr!$B$10,PedBerExtraAfspr!$B$11,PedBerExtraAfspr!$D$11,PedBerExtraAfspr!$D$12,PedBerExtraAfspr!$D$13,PedBerExtraAfspr!$D$14,PedBerExtraAfspr!$B$15,PedBerExtraAfspr!$B$16,PedBerExtraAfspr!$B$17,PedBerExtraAfspr!$B$20,PedBerExtraAfspr!$B$21,PedBerExtraAfspr!$B$22,PedBerExtraAfspr!$B$23,PedBerExtraAfspr!$B$24,PedBerExtraAfspr!$B$25,PedBerExtraAfspr!$B$27,PedBerExtraAfspr!$B$30,PedBerExtraAfspr!$B$33,PedBerExtraAfspr!$B$36,PedBerExtraAfspr!$B$37,PedBerExtraAfspr!$B$38,PedBerExtraAfspr!$B$39,PedBerExtraAfspr!$D$36,PedBerExtraAfspr!$D$37,PedBerExtraAfspr!$D$38,PedBerExtraAfspr!$F$7,PedBerExtraAfspr!$F$8,PedBerExtraAfspr!$F$9,PedBerExtraAfspr!$F$10,PedBerExtraAfspr!$F$11,PedBerExtraAfspr!$F$12,PedBerExtraAfspr!$F$13,PedBerExtraAfspr!$F$14,PedBerExtraAfspr!$F$15,PedBerExtraAfspr!$B$42,PedBerExtraAfspr!$B$43,PedBerExtraAfspr!$B$44,PedBerExtraAfspr!$F$16,PedBerExtraAfspr!$F$18</t>
  </si>
  <si>
    <t>PedBerExtraAfspr!$D$7,PedBerExtraAfspr!$D$8,PedBerExtraAfspr!$D$9,PedBerExtraAfspr!$D$10,PedBerExtraAfspr!$B$12,PedBerExtraAfspr!$D$27,PedBerExtraAfspr!$D$28,PedBerExtraAfspr!$D$29,PedBerExtraAfspr!$D$30,PedBerExtraAfspr!$D$31,PedBerExtraAfspr!$D$32,PedBerExtraAfspr!$D$33,PedBerExtraAfspr!$D$34,PedBerExtraAfspr!$D$35,PedBerExtraAfspr!$D$39,PedBerExtraAfspr!$D$40,PedBerExtraAfspr!$F$17,PedBerExtraAfspr!$C$7,PedBerExtraAfspr!$C$8,PedBerExtraAfspr!$C$9,PedBerExtraAfspr!$C$10,PedBerExtraAfspr!$G$16,PedBerExtraAfspr!$G$18,PedBerExtraAfspr!$H$18,PedBerExtraAfspr!$C$42,PedBerExtraAfspr!$C$43</t>
  </si>
  <si>
    <t>PedBerLab!$C$4:$C$35,PedBerLab!$E$4:$E$34,PedBerLab!$G$4:$G$34,PedBerLab!$I$4:$I$34,PedBerLab!$L$4:$L$34,PedBerLab!$N$4:$N$34,PedBerLab!$P$4:$P$34</t>
  </si>
  <si>
    <t>NeoBerIV!$F$35</t>
  </si>
  <si>
    <t>NeoBer1700!$F$35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</si>
  <si>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</si>
  <si>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</si>
  <si>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</si>
  <si>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</si>
  <si>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</si>
  <si>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</si>
  <si>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</si>
  <si>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</si>
  <si>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</si>
  <si>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</si>
  <si>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</si>
  <si>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</si>
  <si>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</si>
  <si>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</si>
  <si>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</si>
  <si>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</si>
  <si>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PedBerMedIV!$B$2:$H$12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</si>
  <si>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</si>
  <si>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</si>
  <si>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</si>
  <si>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</si>
  <si>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</si>
  <si>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</si>
  <si>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</si>
  <si>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</si>
  <si>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PedTblMedIV!$B$3:$W$34</t>
  </si>
  <si>
    <t>NeoTblVoed!$E$4</t>
  </si>
  <si>
    <t>NeoTblVoed!$J$4</t>
  </si>
  <si>
    <t>NeoTblVoed!$H$4</t>
  </si>
  <si>
    <t>NeoTblVoed!$D$4</t>
  </si>
  <si>
    <t>NeoTblVoed!$G$4</t>
  </si>
  <si>
    <t>NeoTblVoed!$C$4</t>
  </si>
  <si>
    <t>NeoTblVoed!$F$4</t>
  </si>
  <si>
    <t>NeoTblVoed!$I$4</t>
  </si>
  <si>
    <t>PedBerMedIV!$T$3:$T$6</t>
  </si>
  <si>
    <t>PedTblMedIV!$A$3:$B$34</t>
  </si>
  <si>
    <t>PedTblIV!$F$2:$F$5</t>
  </si>
  <si>
    <t>PedTblIV!$E$2:$E$5</t>
  </si>
  <si>
    <t>PedTblVoed!$C$3:$O$27</t>
  </si>
  <si>
    <t>PedTblVoed!$C$31:$C$54</t>
  </si>
  <si>
    <t>PedTblVoed!$C$31:$O$54</t>
  </si>
  <si>
    <t>PedTblVoed!$Q$2:$Q$6</t>
  </si>
  <si>
    <t>PedBerTPN!$K$27:$K$40</t>
  </si>
  <si>
    <t>PedBerMedDisc!$C$28:$D$39</t>
  </si>
  <si>
    <t>PedBerTPN!$A$27:$I$28</t>
  </si>
  <si>
    <t>NeoTblVoed!$B$8:$N$44</t>
  </si>
  <si>
    <t>PedTblVoed!$C$3:$C$27</t>
  </si>
  <si>
    <t>NeoTblVoed!$B$49:$N$75</t>
  </si>
  <si>
    <t>PedBerMedDisc!$P$33</t>
  </si>
  <si>
    <t>PedBerTPN!$B$4</t>
  </si>
  <si>
    <t>PedBerTPN!$A$29:$I$29</t>
  </si>
  <si>
    <t>PedBerTPN!$A$30:$I$30</t>
  </si>
  <si>
    <t>PedBerTPN!$A$31:$I$31</t>
  </si>
  <si>
    <t>PedBerTPN!$A$32:$I$32</t>
  </si>
  <si>
    <t>NeoTblLijst!$M$25:$V$26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</si>
  <si>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</si>
  <si>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</si>
  <si>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</si>
  <si>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</si>
  <si>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</si>
  <si>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</si>
  <si>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GlobNames!_FilterDatabase</t>
  </si>
  <si>
    <t>NeoBerIV!$J$14</t>
  </si>
  <si>
    <t>NeoBerIV!$J$20</t>
  </si>
  <si>
    <t>NeoBerIV!$J$18</t>
  </si>
  <si>
    <t>NeoBerIV!$J$29</t>
  </si>
  <si>
    <t>NeoBerIV!$J$30</t>
  </si>
  <si>
    <t>NeoBerIV!$J$31</t>
  </si>
  <si>
    <t>NeoBerIV!$J$21</t>
  </si>
  <si>
    <t>NeoBerIV!$J$22</t>
  </si>
  <si>
    <t>NeoBerIV!$J$23</t>
  </si>
  <si>
    <t>NeoBerIV!$J$24</t>
  </si>
  <si>
    <t>NeoBerIV!$J$25</t>
  </si>
  <si>
    <t>NeoBerIV!$J$26</t>
  </si>
  <si>
    <t>NeoBerIV!$J$27</t>
  </si>
  <si>
    <t>NeoBerIV!$J$28</t>
  </si>
  <si>
    <t>NeoBerIV!$J$52</t>
  </si>
  <si>
    <t>NeoBerIV!$J$53</t>
  </si>
  <si>
    <t>NeoBerIV!$J$54</t>
  </si>
  <si>
    <t>NeoBerIV!$J$55</t>
  </si>
  <si>
    <t>NeoBerIV!$J$56</t>
  </si>
  <si>
    <t>NeoBerIV!$J$58</t>
  </si>
  <si>
    <t>NeoBerIV!$J$59</t>
  </si>
  <si>
    <t>NeoBerIV!$J$60</t>
  </si>
  <si>
    <t>NeoBerIV!$J$61</t>
  </si>
  <si>
    <t>NeoBer1700!$J$14</t>
  </si>
  <si>
    <t>NeoBer1700!$J$20</t>
  </si>
  <si>
    <t>NeoBer1700!$J$18</t>
  </si>
  <si>
    <t>NeoBer1700!$J$29</t>
  </si>
  <si>
    <t>NeoBer1700!$J$30</t>
  </si>
  <si>
    <t>NeoBer1700!$J$31</t>
  </si>
  <si>
    <t>NeoBer1700!$J$21</t>
  </si>
  <si>
    <t>NeoBer1700!$J$22</t>
  </si>
  <si>
    <t>NeoBer1700!$J$23</t>
  </si>
  <si>
    <t>NeoBer1700!$J$24</t>
  </si>
  <si>
    <t>NeoBer1700!$J$25</t>
  </si>
  <si>
    <t>NeoBer1700!$J$26</t>
  </si>
  <si>
    <t>NeoBer1700!$J$27</t>
  </si>
  <si>
    <t>NeoBer1700!$J$28</t>
  </si>
  <si>
    <t>NeoBer1700!$J$52</t>
  </si>
  <si>
    <t>NeoBer1700!$J$53</t>
  </si>
  <si>
    <t>NeoBer1700!$J$54</t>
  </si>
  <si>
    <t>NeoBer1700!$J$55</t>
  </si>
  <si>
    <t>NeoBer1700!$J$56</t>
  </si>
  <si>
    <t>NeoBer1700!$J$58</t>
  </si>
  <si>
    <t>NeoBer1700!$J$59</t>
  </si>
  <si>
    <t>NeoBer1700!$J$60</t>
  </si>
  <si>
    <t>NeoBer1700!$J$61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</si>
  <si>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</si>
  <si>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</si>
  <si>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</si>
  <si>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</si>
  <si>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</si>
  <si>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</si>
  <si>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</si>
  <si>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</si>
  <si>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</si>
  <si>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</si>
  <si>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</si>
  <si>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</si>
  <si>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</si>
  <si>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</si>
  <si>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</si>
  <si>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</si>
  <si>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</si>
  <si>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</si>
  <si>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</si>
  <si>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</si>
  <si>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</si>
  <si>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</si>
  <si>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</si>
  <si>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</si>
  <si>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</si>
  <si>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</si>
  <si>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</si>
  <si>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</si>
  <si>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</si>
  <si>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</si>
  <si>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</si>
  <si>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</si>
  <si>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</si>
  <si>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</si>
  <si>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</si>
  <si>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</si>
  <si>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</si>
  <si>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</si>
  <si>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</si>
  <si>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</si>
  <si>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</si>
  <si>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</si>
  <si>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</si>
  <si>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</si>
  <si>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</si>
  <si>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</si>
  <si>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</si>
  <si>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</si>
  <si>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</si>
  <si>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</si>
  <si>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</si>
  <si>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</si>
  <si>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</si>
  <si>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</si>
  <si>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</si>
  <si>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</si>
  <si>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</si>
  <si>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</si>
  <si>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</si>
  <si>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</si>
  <si>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</si>
  <si>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</si>
  <si>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</si>
  <si>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</si>
  <si>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</si>
  <si>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</si>
  <si>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</si>
  <si>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</si>
  <si>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</si>
  <si>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</si>
  <si>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</si>
  <si>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</si>
  <si>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</si>
  <si>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</si>
  <si>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</si>
  <si>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</si>
  <si>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</si>
  <si>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</si>
  <si>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</si>
  <si>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</si>
  <si>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</si>
  <si>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</si>
  <si>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</si>
  <si>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</si>
  <si>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</si>
  <si>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</si>
  <si>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</si>
  <si>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</si>
  <si>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</si>
  <si>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</si>
  <si>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</si>
  <si>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</si>
  <si>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</si>
  <si>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</si>
  <si>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</si>
  <si>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</si>
  <si>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</si>
  <si>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</si>
  <si>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</si>
  <si>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</si>
  <si>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</si>
  <si>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</si>
  <si>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</si>
  <si>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</si>
  <si>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</si>
  <si>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</si>
  <si>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</si>
  <si>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</si>
  <si>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</si>
  <si>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</si>
  <si>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</si>
  <si>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</si>
  <si>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</si>
  <si>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</si>
  <si>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</si>
  <si>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</si>
  <si>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</si>
  <si>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</si>
  <si>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</si>
  <si>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</si>
  <si>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</si>
  <si>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</si>
  <si>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</si>
  <si>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</si>
  <si>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</si>
  <si>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</si>
  <si>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</si>
  <si>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</si>
  <si>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</si>
  <si>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</si>
  <si>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</si>
  <si>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</si>
  <si>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</si>
  <si>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</si>
  <si>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</si>
  <si>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</si>
  <si>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</si>
  <si>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</si>
  <si>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</si>
  <si>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</si>
  <si>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</si>
  <si>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</si>
  <si>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</si>
  <si>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</si>
  <si>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</si>
  <si>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</si>
  <si>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</si>
  <si>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</si>
  <si>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</si>
  <si>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</si>
  <si>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</si>
  <si>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</si>
  <si>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</si>
  <si>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</si>
  <si>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</si>
  <si>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</si>
  <si>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</si>
  <si>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</si>
  <si>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</si>
  <si>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</si>
  <si>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</si>
  <si>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</si>
  <si>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</si>
  <si>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</si>
  <si>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</si>
  <si>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</si>
  <si>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</si>
  <si>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</si>
  <si>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</si>
  <si>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</si>
  <si>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</si>
  <si>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</si>
  <si>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</si>
  <si>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</si>
  <si>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</si>
  <si>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</si>
  <si>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</si>
  <si>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</si>
  <si>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</si>
  <si>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</si>
  <si>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</si>
  <si>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</si>
  <si>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</si>
  <si>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</si>
  <si>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</si>
  <si>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</si>
  <si>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</si>
  <si>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</si>
  <si>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</si>
  <si>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tbl_Neo_NutrKunstToev</t>
  </si>
  <si>
    <t>tbl_Neo_NutrMMToev</t>
  </si>
  <si>
    <t>tbl_Neo_NutrBMFToev</t>
  </si>
  <si>
    <t>tbl_Neo_NutrBMFWaard</t>
  </si>
  <si>
    <t>tbl_Neo_NutrToevWaard</t>
  </si>
  <si>
    <t>_Neo_AchterNaamNICU</t>
  </si>
  <si>
    <t>_Neo_AchterNaamNICU1700</t>
  </si>
  <si>
    <t>_Neo_VoornaamNICU1700</t>
  </si>
  <si>
    <t>IsFormula</t>
  </si>
  <si>
    <t>Var_Neo_AfsprOnderzoek</t>
  </si>
  <si>
    <t>Var_Neo_AfsprOverig</t>
  </si>
  <si>
    <t>Var_Neo_GebDat1700</t>
  </si>
  <si>
    <t>Var_Neo_Gew1700</t>
  </si>
  <si>
    <t>Var_Neo_Dag</t>
  </si>
  <si>
    <t>Var_Glob_Versie</t>
  </si>
  <si>
    <t>tbl_Glob_Patient</t>
  </si>
  <si>
    <t>tbl_Neo_Dose</t>
  </si>
  <si>
    <t>tbl_Neo_FaktorLijst</t>
  </si>
  <si>
    <t>tbl_Neo_Opl</t>
  </si>
  <si>
    <t>tbl_Ped_PMInstelling</t>
  </si>
  <si>
    <t>tbl_Ped_PMStandaard</t>
  </si>
  <si>
    <t>tbl_Neo_Pos</t>
  </si>
  <si>
    <t>tbl_ReservePat</t>
  </si>
  <si>
    <t>tbl_Neo_Tube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</si>
  <si>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</si>
  <si>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</si>
  <si>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</si>
  <si>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</si>
  <si>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</si>
  <si>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</si>
  <si>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</si>
  <si>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</si>
  <si>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</si>
  <si>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</si>
  <si>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Var_Neo_Percentage1700_0</t>
  </si>
  <si>
    <t>Var_Neo_Percentage1700_1</t>
  </si>
  <si>
    <t>Var_Neo_Percentage1700_2</t>
  </si>
  <si>
    <t>Var_Neo_Percentage1700_3</t>
  </si>
  <si>
    <t>Var_Neo_Percentage1700_4</t>
  </si>
  <si>
    <t>Var_Neo_Percentage1700_5</t>
  </si>
  <si>
    <t>Var_Neo_Percentage1700_6</t>
  </si>
  <si>
    <t>Var_Neo_Percentage1700_7</t>
  </si>
  <si>
    <t>Var_Neo_Percentage1700_8</t>
  </si>
  <si>
    <t>Var_Neo_InfuusContinu1</t>
  </si>
  <si>
    <t>Var_Neo_InfuusContinu10</t>
  </si>
  <si>
    <t>Var_Neo_InfuusContinu11</t>
  </si>
  <si>
    <t>Var_Neo_InfuusContinu12</t>
  </si>
  <si>
    <t>Var_Neo_InfuusContinu13</t>
  </si>
  <si>
    <t>Var_Neo_InfuusContinu14</t>
  </si>
  <si>
    <t>Var_Neo_InfuusContinu15</t>
  </si>
  <si>
    <t>Var_Neo_InfuusContinu16</t>
  </si>
  <si>
    <t>Var_Neo_InfuusContinu17</t>
  </si>
  <si>
    <t>Var_Neo_InfuusContinu1700_1</t>
  </si>
  <si>
    <t>Var_Neo_InfuusContinu1700_10</t>
  </si>
  <si>
    <t>Var_Neo_InfuusContinu1700_11</t>
  </si>
  <si>
    <t>Var_Neo_InfuusContinu1700_12</t>
  </si>
  <si>
    <t>Var_Neo_InfuusContinu1700_13</t>
  </si>
  <si>
    <t>Var_Neo_InfuusContinu1700_14</t>
  </si>
  <si>
    <t>Var_Neo_InfuusContinu1700_15</t>
  </si>
  <si>
    <t>Var_Neo_InfuusContinu1700_16</t>
  </si>
  <si>
    <t>Var_Neo_InfuusContinu1700_17</t>
  </si>
  <si>
    <t>Var_Neo_InfuusContinu1700_18</t>
  </si>
  <si>
    <t>Var_Neo_InfuusContinu1700_19</t>
  </si>
  <si>
    <t>Var_Neo_InfuusContinu1700_2</t>
  </si>
  <si>
    <t>Var_Neo_InfuusContinu1700_20</t>
  </si>
  <si>
    <t>Var_Neo_InfuusContinu1700_21</t>
  </si>
  <si>
    <t>Var_Neo_InfuusContinu1700_22</t>
  </si>
  <si>
    <t>Var_Neo_InfuusContinu1700_23</t>
  </si>
  <si>
    <t>Var_Neo_InfuusContinu1700_24</t>
  </si>
  <si>
    <t>Var_Neo_InfuusContinu1700_25</t>
  </si>
  <si>
    <t>Var_Neo_InfuusContinu1700_26</t>
  </si>
  <si>
    <t>Var_Neo_InfuusContinu1700_27</t>
  </si>
  <si>
    <t>Var_Neo_InfuusContinu1700_3</t>
  </si>
  <si>
    <t>Var_Neo_InfuusContinu1700_4</t>
  </si>
  <si>
    <t>Var_Neo_InfuusContinu1700_5</t>
  </si>
  <si>
    <t>Var_Neo_InfuusContinu1700_6</t>
  </si>
  <si>
    <t>Var_Neo_InfuusContinu1700_7</t>
  </si>
  <si>
    <t>Var_Neo_InfuusContinu1700_8</t>
  </si>
  <si>
    <t>Var_Neo_InfuusContinu1700_9</t>
  </si>
  <si>
    <t>Var_Neo_InfuusContinu18</t>
  </si>
  <si>
    <t>Var_Neo_InfuusContinu19</t>
  </si>
  <si>
    <t>Var_Neo_InfuusContinu2</t>
  </si>
  <si>
    <t>Var_Neo_InfuusContinu20</t>
  </si>
  <si>
    <t>Var_Neo_InfuusContinu21</t>
  </si>
  <si>
    <t>Var_Neo_InfuusContinu22</t>
  </si>
  <si>
    <t>Var_Neo_InfuusContinu23</t>
  </si>
  <si>
    <t>Var_Neo_InfuusContinu24</t>
  </si>
  <si>
    <t>Var_Neo_InfuusContinu25</t>
  </si>
  <si>
    <t>Var_Neo_InfuusContinu26</t>
  </si>
  <si>
    <t>Var_Neo_InfuusContinu27</t>
  </si>
  <si>
    <t>Var_Neo_InfuusContinu3</t>
  </si>
  <si>
    <t>Var_Neo_InfuusContinu4</t>
  </si>
  <si>
    <t>Var_Neo_InfuusContinu5</t>
  </si>
  <si>
    <t>Var_Neo_InfuusContinu6</t>
  </si>
  <si>
    <t>Var_Neo_InfuusContinu7</t>
  </si>
  <si>
    <t>Var_Neo_InfuusContinu8</t>
  </si>
  <si>
    <t>Var_Neo_InfuusContinu9</t>
  </si>
  <si>
    <t>Var_Neo_Voeding1</t>
  </si>
  <si>
    <t>Var_Neo_Voeding10</t>
  </si>
  <si>
    <t>Var_Neo_Voeding11</t>
  </si>
  <si>
    <t>Var_Neo_Voeding12</t>
  </si>
  <si>
    <t>Var_Neo_Voeding13</t>
  </si>
  <si>
    <t>Var_Neo_Voeding14</t>
  </si>
  <si>
    <t>Var_Neo_Voeding15</t>
  </si>
  <si>
    <t>Var_Neo_Voeding1700_1</t>
  </si>
  <si>
    <t>Var_Neo_Voeding1700_10</t>
  </si>
  <si>
    <t>Var_Neo_Voeding1700_11</t>
  </si>
  <si>
    <t>Var_Neo_Voeding1700_12</t>
  </si>
  <si>
    <t>Var_Neo_Voeding1700_13</t>
  </si>
  <si>
    <t>Var_Neo_Voeding1700_14</t>
  </si>
  <si>
    <t>Var_Neo_Voeding1700_15</t>
  </si>
  <si>
    <t>Var_Neo_Voeding1700_2</t>
  </si>
  <si>
    <t>Var_Neo_Voeding1700_3</t>
  </si>
  <si>
    <t>Var_Neo_Voeding1700_4</t>
  </si>
  <si>
    <t>Var_Neo_Voeding1700_5</t>
  </si>
  <si>
    <t>Var_Neo_Voeding1700_6</t>
  </si>
  <si>
    <t>Var_Neo_Voeding1700_7</t>
  </si>
  <si>
    <t>Var_Neo_Voeding1700_8</t>
  </si>
  <si>
    <t>Var_Neo_Voeding1700_9</t>
  </si>
  <si>
    <t>Var_Neo_Voeding2</t>
  </si>
  <si>
    <t>Var_Neo_Voeding3</t>
  </si>
  <si>
    <t>Var_Neo_Voeding4</t>
  </si>
  <si>
    <t>Var_Neo_Voeding5</t>
  </si>
  <si>
    <t>Var_Neo_Voeding6</t>
  </si>
  <si>
    <t>Var_Neo_Voeding7</t>
  </si>
  <si>
    <t>Var_Neo_Voeding8</t>
  </si>
  <si>
    <t>Var_Neo_Voeding9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</si>
  <si>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</si>
  <si>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</si>
  <si>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</si>
  <si>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</si>
  <si>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</si>
  <si>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</si>
  <si>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</si>
  <si>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</si>
  <si>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</si>
  <si>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</si>
  <si>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</si>
  <si>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</si>
  <si>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</si>
  <si>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</si>
  <si>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</si>
  <si>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</si>
  <si>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</si>
  <si>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</si>
  <si>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</si>
  <si>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</si>
  <si>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</si>
  <si>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</si>
  <si>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</si>
  <si>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Var_Neo_WerkbriefActueelIntravasaleToegangBreuk</t>
  </si>
  <si>
    <t>Var_Neo_WerkbriefActueelIntravasaleToegangGeheel</t>
  </si>
  <si>
    <t>Var_Neo_WerkbriefActueelIntravasaleToegangStand</t>
  </si>
  <si>
    <t>Var_Neo_WerkbriefActueelIntravasaleToegangTekst</t>
  </si>
  <si>
    <t>Var_Neo_WerkbriefActueelTPNCaClBreuk</t>
  </si>
  <si>
    <t>Var_Neo_WerkbriefActueelTPNCaClGeheel</t>
  </si>
  <si>
    <t>Var_Neo_WerkbriefActueelTPNCaClTekst</t>
  </si>
  <si>
    <t>Var_Neo_WerkbriefActueelTPNGlucBreuk</t>
  </si>
  <si>
    <t>Var_Neo_WerkbriefActueelTPNGlucGeheel</t>
  </si>
  <si>
    <t>Var_Neo_WerkbriefActueelTPNGlucTekst</t>
  </si>
  <si>
    <t>Var_Neo_WerkbriefActueelTPNKacetaatBreuk</t>
  </si>
  <si>
    <t>Var_Neo_WerkbriefActueelTPNKacetaatGeheel</t>
  </si>
  <si>
    <t>Var_Neo_WerkbriefActueelTPNKacetaatTekst</t>
  </si>
  <si>
    <t>Var_Neo_WerkbriefActueelTPNMgClBreuk</t>
  </si>
  <si>
    <t>Var_Neo_WerkbriefActueelTPNMgClGeheel</t>
  </si>
  <si>
    <t>Var_Neo_WerkbriefActueelTPNMgClTekst</t>
  </si>
  <si>
    <t>Var_Neo_WerkbriefActueelTPNNaClBreuk</t>
  </si>
  <si>
    <t>Var_Neo_WerkbriefActueelTPNNaClGeheel</t>
  </si>
  <si>
    <t>Var_Neo_WerkbriefActueelTPNNaCLTekst</t>
  </si>
  <si>
    <t>Var_Neo_WerkbriefActueelTPNNICUmixBreuk</t>
  </si>
  <si>
    <t>Var_Neo_WerkbriefActueelTPNNICUmixGeheel</t>
  </si>
  <si>
    <t>Var_Neo_WerkbriefActueelTPNNICUmixTekst</t>
  </si>
  <si>
    <t>Var_Neo_WerkbriefActueelTPNPrimeneBreuk</t>
  </si>
  <si>
    <t>Var_Neo_WerkbriefActueelTPNPrimeneGeheel</t>
  </si>
  <si>
    <t>Var_Neo_WerkbriefActueelTPNPrimeneTekst</t>
  </si>
  <si>
    <t>Var_Neo_WerkbriefActueelTPNSamBBreuk</t>
  </si>
  <si>
    <t>Var_Neo_WerkbriefActueelTPNSamBGeheel</t>
  </si>
  <si>
    <t>Var_Neo_WerkbriefActueelTPNSamBTekst</t>
  </si>
  <si>
    <t>Var_Neo_WerkbriefActueelTPNSoluvitBreuk</t>
  </si>
  <si>
    <t>Var_Neo_WerkbriefActueelTPNSoluvitGeheel</t>
  </si>
  <si>
    <t>Var_Neo_WerkbriefActueelTPNSoluvitTekst</t>
  </si>
  <si>
    <t>Var_Neo_WerkbriefActueelTPNStand</t>
  </si>
  <si>
    <t>Var_Neo_WerkbriefActueelTPNTotaalBreuk</t>
  </si>
  <si>
    <t>Var_Neo_WerkbriefActueelTPNTotaalGeheel</t>
  </si>
  <si>
    <t>Var_Neo_WerkbriefIntravasaleToegangBreuk</t>
  </si>
  <si>
    <t>Var_Neo_WerkbriefIntravasaleToegangGeheel</t>
  </si>
  <si>
    <t>Var_Neo_WerkbriefIntravasaleToegangStand</t>
  </si>
  <si>
    <t>Var_Neo_WerkbriefIntravasaleToegangTekst</t>
  </si>
  <si>
    <t>Var_Neo_WerkbriefTPNCaClBreuk</t>
  </si>
  <si>
    <t>Var_Neo_WerkbriefTPNCaClGeheel</t>
  </si>
  <si>
    <t>Var_Neo_WerkbriefTPNCaClTekst</t>
  </si>
  <si>
    <t>Var_Neo_WerkbriefTPNGlucBreuk</t>
  </si>
  <si>
    <t>Var_Neo_WerkbriefTPNGlucGeheel</t>
  </si>
  <si>
    <t>Var_Neo_WerkbriefTPNGlucTekst</t>
  </si>
  <si>
    <t>Var_Neo_WerkbriefTPNKacetaatBreuk</t>
  </si>
  <si>
    <t>Var_Neo_WerkbriefTPNKacetaatGeheel</t>
  </si>
  <si>
    <t>Var_Neo_WerkbriefTPNKacetaatTekst</t>
  </si>
  <si>
    <t>Var_Neo_WerkbriefTPNMgClBreuk</t>
  </si>
  <si>
    <t>Var_Neo_WerkbriefTPNMgClGeheel</t>
  </si>
  <si>
    <t>Var_Neo_WerkbriefTPNMgClTekst</t>
  </si>
  <si>
    <t>Var_Neo_WerkbriefTPNNaClBreuk</t>
  </si>
  <si>
    <t>Var_Neo_WerkbriefTPNNaClGeheel</t>
  </si>
  <si>
    <t>Var_Neo_WerkbriefTPNNaCLTekst</t>
  </si>
  <si>
    <t>Var_Neo_WerkbriefTPNNICUmixBreuk</t>
  </si>
  <si>
    <t>Var_Neo_WerkbriefTPNNICUmixGeheel</t>
  </si>
  <si>
    <t>Var_Neo_WerkbriefTPNNICUmixTekst</t>
  </si>
  <si>
    <t>Var_Neo_WerkbriefTPNPrimeneBreuk</t>
  </si>
  <si>
    <t>Var_Neo_WerkbriefTPNPrimeneGeheel</t>
  </si>
  <si>
    <t>Var_Neo_WerkbriefTPNPrimeneTekst</t>
  </si>
  <si>
    <t>Var_Neo_WerkbriefTPNSamBBreuk</t>
  </si>
  <si>
    <t>Var_Neo_WerkbriefTPNSamBGeheel</t>
  </si>
  <si>
    <t>Var_Neo_WerkbriefTPNSamBTekst</t>
  </si>
  <si>
    <t>Var_Neo_WerkbriefTPNSoluvitBreuk</t>
  </si>
  <si>
    <t>Var_Neo_WerkbriefTPNSoluvitGeheel</t>
  </si>
  <si>
    <t>Var_Neo_WerkbriefTPNSoluvitTekst</t>
  </si>
  <si>
    <t>Var_Neo_WerkbriefTPNStand</t>
  </si>
  <si>
    <t>Var_Neo_WerkbriefTPNTotaalBreuk</t>
  </si>
  <si>
    <t>Var_Neo_WerkbriefTPNTotaalGeheel</t>
  </si>
  <si>
    <t>Var_AfspraakDatum</t>
  </si>
  <si>
    <t>Var_Neo_Dag1700</t>
  </si>
  <si>
    <t>IsData</t>
  </si>
  <si>
    <t>IsNeo</t>
  </si>
  <si>
    <t>IsPed</t>
  </si>
  <si>
    <t>InPatData</t>
  </si>
  <si>
    <t>F:= TODAY()</t>
  </si>
  <si>
    <t>F:=CONCATENATE(;IF(B7;A7 &amp; " - ";"");IF(B8;CONCATENATE(A8; " (";C8; " keer per ";INDEX(tbl_Ped_Periode;D8;0);")") &amp; " - ";"");IF(B9;CONCATENATE(A9; " (";C9; " keer per ";INDEX(tbl_Ped_Periode;D9;0);")") &amp; " - ";"");IF(B18;CONCATENATE(A18; " (";C18; " keer per ";INDEX(tbl_Ped_Periode;D18;0);")") &amp; " - ";"");IF(B10;A10 &amp; " - ";"");IF(B11; CONCATENATE(A11;" (";B12;" dd ";IF(D11;C11 &amp; " ";"");IF(D12;C12 &amp; " ";"");IF(D13;C13 &amp; " ";"");IF(D14;C14 &amp; " ";"");") - ");"");IF(B15;A15 &amp; " - ";"");IF(B16;A16 &amp; " - ";"");IF(B17;A17 &amp; " - ";"");IF(B19;A19 &amp; " - ";""))</t>
  </si>
  <si>
    <t>F:=CONCATENATE(IF(B34;CONCATENATE(A34;" (";C34;" ";C35;" ";C36;") - ");"");IF(B37;CONCATENATE(A37;" (";C37;" ";C38;" ";C39;") - ");"");IF(B40;CONCATENATE(A40;" (";C40;" ";C41;" ";C42;") - ");"");IF(B43;CONCATENATE(A43;IF(D43;CONCATENATE(" (";C43;")");"");" - ");"");IF(B44;CONCATENATE(A44;IF(D44;CONCATENATE(" (";C44;")");"");" - ");"");IF(B45;CONCATENATE(A45;IF(D45;CONCATENATE(" (";C45;")");"");" - ");"");IF(B46;CONCATENATE(A46;" (";C46;" ";D47;" ";C47;") - ");""))</t>
  </si>
  <si>
    <t>F:=CONCATENATE(IF(F7;E7 &amp; " - ";"");IF(F8;E8 &amp; " - ";"");IF(H8;G8 &amp; " - ";"");IF(H9;G9 &amp; " - ";"");IF(H10;G10 &amp; " - ";"");IF(H11;G11 &amp; " - ";"");IF(F12;E12 &amp; " - ";"");IF(F13;E13 &amp; " - ";"");IF(H13;G13 &amp; " - ";"");IF(F14;E14 &amp; " - ";"");IF(F15;E15 &amp; " - ";"");IF(H15;G15 &amp; " - ";"");IF(H16;G16 &amp; " - ";"");IF(F17;E17 &amp; " - ";"");IF(F18;E18 &amp; " - ";"");IF(H18;G18 &amp; " - ";"");IF(H19;G19 &amp; " - ";"");IF(H20;G20 &amp; " - ";"");IF(F21;E21 &amp; " - ";"");IF(F22;E22 &amp; " - ";"");IF(H22;G22 &amp; " - ";"");IF(F23;E23 &amp; " - ";"");IF(H23;G23 &amp; " - ";"");IF(H24;G24 &amp; " - ";"");IF(H25;G25 &amp; " - ";"");IF(H26;G26 &amp; " - ";"");IF(H27;G27 &amp; " - ";"");IF(H28;G28 &amp; " - ";"");IF(H29;G29 &amp; " - ";"");IF(H30;G30 &amp; " - ";"");IF(F31;CONCATENATE(E31;" (";_Neo_AfsprB_WondkweekTekst;") - ");""))</t>
  </si>
  <si>
    <t>F:=CONCATENATE(;IF(B22;CONCATENATE(A22;" (";C22;") - ");"");IF(B23;A23 &amp; " - ";"");IF(B24;A24 &amp; " - ";"");IF(B25;A25 &amp; " - ";"");IF(B26;A26 &amp; " - ";"");IF(B27;CONCATENATE(A27;" (vertrek afdeling: ";C27;" uur) - ");"");IF(B28;A28 &amp; " - ";"");IF(B29;A29 &amp; " - ";"");IF(B30;A30 &amp; " - ";"");IF(B31;A31 &amp; " - ";"");IF(B32;A32 &amp; " - ";""))</t>
  </si>
  <si>
    <t>F:=CONCATENATE(;IF(J7;I7 &amp; " - ";"");IF(J29;CONCATENATE(I29; " (";K29; " lamp(en)";")") &amp; " - ";"");IF(J8;I8 &amp; " - ";"");IF(J9;I9 &amp; " - ";"");IF(J10;I10 &amp; " - ";"");IF(J11;I11 &amp; " - ";"");IF(J12;I12 &amp; " - ";"");IF(J13;I13 &amp; " - ";"");IF(J14;I14 &amp; " - ";"");IF(J15;I15 &amp; " - ";"");IF(J16;I16 &amp; " - ";"");IF(J17;CONCATENATE(I17;" (";K17;" dd, ";L17;" ml) - ");"");IF(J18;I18 &amp; " - ";"");IF(J19;I19 &amp; " - ";"");IF(J20;CONCATENATE(I20;" à ";K20;" uur";" (";TRIM(CONCATENATE(IF(0=0;"";"xcxx" &amp; " ");IF(L21;K21 &amp; " ";"");IF(L22;K22 &amp; " ";"");IF(L23;K23 &amp; " ";"")));") - ");"");IF(J24;CONCATENATE(I24;" (";TRIM(CONCATENATE(IF(L24;K24 &amp; " ";"");IF(L25;K25 &amp; " ";"");IF(L26;K26 &amp; " ";"");IF(L27;K27 &amp; " ";"");IF(L28;K28 &amp; " ";"")));") - ");"")
)</t>
  </si>
  <si>
    <t>F:=TODAY()-B3+1+C3</t>
  </si>
  <si>
    <t>F:=__4_GebDatum</t>
  </si>
  <si>
    <t>F:=IF(NeoBerIV!E29&lt;&gt;0; NeoGuiAfspraken!B42&amp;": "&amp; INDEX(tbl_Neo_Opl;NeoBerIV!$E29;1)&amp;" " &amp; NeoGuiAfspraken!G42;"")</t>
  </si>
  <si>
    <t>F:=IF(NeoBerIV!E30&lt;&gt;0; NeoGuiAfspraken!B43&amp;": "&amp; INDEX(tbl_Neo_Opl;NeoBerIV!$E30;1)&amp;" " &amp; NeoGuiAfspraken!G43;"")</t>
  </si>
  <si>
    <t>F:=IF(NeoBerIV!E31&lt;&gt;0; NeoGuiAfspraken!B44&amp;": "&amp; INDEX(tbl_Neo_Opl;NeoBerIV!$E31;1)&amp;" " &amp; NeoGuiAfspraken!G44;"")</t>
  </si>
  <si>
    <t>F:=IF(NeoBerIV!B32="";"";NeoBerIV!B32)</t>
  </si>
  <si>
    <t>F:=IF(NeoBerIV!B33="";"";NeoBerIV!B33)</t>
  </si>
  <si>
    <t>F:=IF(NeoBerIV!C35&lt;&gt;0;CONCATENATE("Intralipid 20% (incl.vitintra) ";ROUNDUP(NeoBerIV!C35/24;1);" ml/uur");"")</t>
  </si>
  <si>
    <t>F:=IF(Var_Neo_WerkbriefActueelTPNStand&lt;&gt;"";CONCATENATE("TPN: ";Var_Neo_WerkbriefActueelTPNStand; " ml/uur");"")</t>
  </si>
  <si>
    <t>F:=IF(Var_Neo_WerkbriefActueelTPNStand&lt;&gt;"";CONCATENATE("TPN Totaal: ";Var_Neo_WerkbriefActueelTPNTotaalGeheel;",";  ROUND(Var_Neo_WerkbriefActueelTPNTotaalBreuk;0); " ml");"")</t>
  </si>
  <si>
    <t>F:=IF(NeoBer1700!E29&gt;1; NeoAfspr1700!B42&amp;": "&amp; INDEX(tbl_Neo_Opl;NeoBer1700!$E29;1)&amp;" " &amp; NeoAfspr1700!G42;"")</t>
  </si>
  <si>
    <t>F:=IF(NeoBer1700!E30&gt;1; NeoAfspr1700!B43&amp;": "&amp; INDEX(tbl_Neo_Opl;NeoBer1700!$E30;1)&amp;" " &amp; NeoAfspr1700!G43;"")</t>
  </si>
  <si>
    <t>F:=IF(NeoBer1700!E31&gt;1; NeoAfspr1700!B44&amp;": "&amp; INDEX(tbl_Neo_Opl;NeoBer1700!$E31;1)&amp;" " &amp; NeoAfspr1700!G44;"")</t>
  </si>
  <si>
    <t>F:=IF(NeoBer1700!B32="";"";NeoBer1700!B32)</t>
  </si>
  <si>
    <t>F:=IF(NeoBer1700!B33="";"";NeoBer1700!B33)</t>
  </si>
  <si>
    <t>F:=IF(NeoBer1700!C35&lt;&gt;0;CONCATENATE("Intralipid 20% (incl.vitintra) ";ROUNDUP(NeoBer1700!C35/24;1);" ml/uur");"")</t>
  </si>
  <si>
    <t>F:=IF(Var_Neo_WerkbriefTPNStand&lt;&gt;"";CONCATENATE("TPN: ";Var_Neo_WerkbriefTPNStand; " ml/uur");"")</t>
  </si>
  <si>
    <t>F:=IF(Var_Neo_WerkbriefTPNStand&lt;&gt;"";CONCATENATE("TPN Totaal: ";Var_Neo_WerkbriefTPNTotaalGeheel;","; ROUND(Var_Neo_WerkbriefTPNTotaalBreuk;0); " ml");"")</t>
  </si>
  <si>
    <t>F:=IF(OR(Var_Neo_WerkbriefTPNNaClGeheel&lt;&gt;"";Var_Neo_WerkbriefTPNNaClBreuk&lt;&gt;"");CONCATENATE(Var_Neo_WerkbriefTPNNaCLTekst;" ";Var_Neo_WerkbriefTPNNaClGeheel;","; Var_Neo_WerkbriefTPNNaClBreuk; " ml");"")</t>
  </si>
  <si>
    <t>F:=IF(OR(Var_Neo_WerkbriefTPNKacetaatGeheel&lt;&gt;"";Var_Neo_WerkbriefTPNKacetaatBreuk&lt;&gt;"");CONCATENATE(Var_Neo_WerkbriefTPNKacetaatTekst;" ";Var_Neo_WerkbriefTPNKacetaatGeheel;","; Var_Neo_WerkbriefTPNKacetaatBreuk; " ml");"")</t>
  </si>
  <si>
    <t>F:=IF(OR(Var_Neo_WerkbriefTPNCaClGeheel&lt;&gt;"";Var_Neo_WerkbriefTPNCaClBreuk&lt;&gt;"");CONCATENATE(Var_Neo_WerkbriefTPNCaClTekst;" ";Var_Neo_WerkbriefTPNCaClGeheel;","; Var_Neo_WerkbriefTPNCaClBreuk; " ml");"")</t>
  </si>
  <si>
    <t>F:=IF(OR(Var_Neo_WerkbriefTPNMgClGeheel&lt;&gt;"";Var_Neo_WerkbriefTPNMgClBreuk&lt;&gt;"");CONCATENATE(Var_Neo_WerkbriefTPNMgClTekst;" ";Var_Neo_WerkbriefTPNMgClGeheel;","; Var_Neo_WerkbriefTPNMgClBreuk; " ml");"")</t>
  </si>
  <si>
    <t>F:=IF(OR(Var_Neo_WerkbriefTPNSoluvitGeheel&lt;&gt;"";Var_Neo_WerkbriefTPNSoluvitBreuk&lt;&gt;"");CONCATENATE(Var_Neo_WerkbriefTPNSoluvitTekst;" ";Var_Neo_WerkbriefTPNSoluvitGeheel;","; Var_Neo_WerkbriefTPNSoluvitBreuk; " ml");"")</t>
  </si>
  <si>
    <t>F:=IF(OR(Var_Neo_WerkbriefTPNPrimeneGeheel&lt;&gt;"";Var_Neo_WerkbriefTPNPrimeneBreuk&lt;&gt;"");CONCATENATE(Var_Neo_WerkbriefTPNPrimeneTekst;" ";Var_Neo_WerkbriefTPNPrimeneGeheel;","; Var_Neo_WerkbriefTPNPrimeneBreuk; " ml");"")</t>
  </si>
  <si>
    <t>F:=IF(OR(Var_Neo_WerkbriefTPNNICUmixGeheel&lt;&gt;"";Var_Neo_WerkbriefTPNNICUmixBreuk&lt;&gt;"");CONCATENATE(Var_Neo_WerkbriefTPNNICUmixTekst;" ";Var_Neo_WerkbriefTPNNICUmixGeheel;","; Var_Neo_WerkbriefTPNNICUmixBreuk; " ml");"")</t>
  </si>
  <si>
    <t>F:=IF(OR(Var_Neo_WerkbriefTPNSamBGeheel&lt;&gt;"";Var_Neo_WerkbriefTPNSamBBreuk&lt;&gt;"");CONCATENATE(Var_Neo_WerkbriefTPNSamBTekst;" ";Var_Neo_WerkbriefTPNSamBGeheel;","; Var_Neo_WerkbriefTPNSamBBreuk; " ml");"")</t>
  </si>
  <si>
    <t>F:=IF(OR(Var_Neo_WerkbriefTPNGlucGeheel&lt;&gt;"";Var_Neo_WerkbriefTPNGlucBreuk&lt;&gt;"");CONCATENATE(Var_Neo_WerkbriefTPNGlucTekst;" ";Var_Neo_WerkbriefTPNGlucGeheel;","; ROUND(Var_Neo_WerkbriefTPNGlucBreuk;2); " ml");"")</t>
  </si>
  <si>
    <t>F:=IF(Var_Neo_WerkbriefIntravasaleToegangStand&lt;&gt;"";CONCATENATE(Var_Neo_WerkbriefIntravasaleToegangTekst;" ";Var_Neo_WerkbriefIntravasaleToegangStand; " ml/uur");"")</t>
  </si>
  <si>
    <t>F:=IF(OR(Var_Neo_WerkbriefActueelTPNNaClGeheel&lt;&gt;"";Var_Neo_WerkbriefActueelTPNNaClBreuk&lt;&gt;"");CONCATENATE(Var_Neo_WerkbriefActueelTPNNaCLTekst;" ";Var_Neo_WerkbriefActueelTPNNaClGeheel;","; Var_Neo_WerkbriefActueelTPNNaClBreuk; " ml");"")</t>
  </si>
  <si>
    <t>F:=IF(OR(Var_Neo_WerkbriefActueelTPNKacetaatGeheel&lt;&gt;"";Var_Neo_WerkbriefActueelTPNKacetaatBreuk&lt;&gt;"");CONCATENATE(Var_Neo_WerkbriefActueelTPNKacetaatTekst;" ";Var_Neo_WerkbriefActueelTPNKacetaatGeheel;","; Var_Neo_WerkbriefActueelTPNKacetaatBreuk; " ml");"")</t>
  </si>
  <si>
    <t>F:=IF(OR(Var_Neo_WerkbriefActueelTPNCaClGeheel&lt;&gt;"";Var_Neo_WerkbriefActueelTPNCaClBreuk&lt;&gt;"");CONCATENATE(Var_Neo_WerkbriefActueelTPNCaClTekst;" ";Var_Neo_WerkbriefActueelTPNCaClGeheel;","; Var_Neo_WerkbriefActueelTPNCaClBreuk; " ml");"")</t>
  </si>
  <si>
    <t>F:=IF(OR(Var_Neo_WerkbriefActueelTPNMgClGeheel&lt;&gt;"";Var_Neo_WerkbriefActueelTPNMgClBreuk&lt;&gt;"");CONCATENATE(Var_Neo_WerkbriefActueelTPNMgClTekst;" ";Var_Neo_WerkbriefActueelTPNMgClGeheel;","; Var_Neo_WerkbriefActueelTPNMgClBreuk; " ml");"")</t>
  </si>
  <si>
    <t>F:=IF(OR(Var_Neo_WerkbriefActueelTPNSoluvitGeheel&lt;&gt;"";Var_Neo_WerkbriefActueelTPNSoluvitBreuk&lt;&gt;"");CONCATENATE(Var_Neo_WerkbriefActueelTPNSoluvitTekst;" ";Var_Neo_WerkbriefActueelTPNSoluvitGeheel;","; Var_Neo_WerkbriefActueelTPNSoluvitBreuk; " ml");"")</t>
  </si>
  <si>
    <t>F:=IF(OR(Var_Neo_WerkbriefActueelTPNPrimeneGeheel&lt;&gt;"";Var_Neo_WerkbriefActueelTPNPrimeneBreuk&lt;&gt;"");CONCATENATE(Var_Neo_WerkbriefActueelTPNPrimeneTekst;" ";Var_Neo_WerkbriefActueelTPNPrimeneGeheel;","; Var_Neo_WerkbriefActueelTPNPrimeneBreuk; " ml");"")</t>
  </si>
  <si>
    <t>F:=IF(OR(Var_Neo_WerkbriefActueelTPNNICUmixGeheel&lt;&gt;"";Var_Neo_WerkbriefActueelTPNNICUmixBreuk&lt;&gt;"");CONCATENATE(Var_Neo_WerkbriefActueelTPNNICUmixTekst;" ";Var_Neo_WerkbriefActueelTPNNICUmixGeheel;","; Var_Neo_WerkbriefActueelTPNNICUmixBreuk; " ml");"")</t>
  </si>
  <si>
    <t>F:=IF(OR(Var_Neo_WerkbriefActueelTPNSamBGeheel&lt;&gt;"";Var_Neo_WerkbriefActueelTPNSamBBreuk&lt;&gt;"");CONCATENATE(Var_Neo_WerkbriefActueelTPNSamBTekst;" ";Var_Neo_WerkbriefActueelTPNSamBGeheel;","; Var_Neo_WerkbriefActueelTPNSamBBreuk; " ml");"")</t>
  </si>
  <si>
    <t>F:=IF(OR(Var_Neo_WerkbriefActueelTPNGlucGeheel&lt;&gt;"";Var_Neo_WerkbriefActueelTPNGlucBreuk&lt;&gt;"");CONCATENATE(Var_Neo_WerkbriefActueelTPNGlucTekst;" ";Var_Neo_WerkbriefActueelTPNGlucGeheel;","; ROUND(Var_Neo_WerkbriefActueelTPNGlucBreuk;2); " ml");"")</t>
  </si>
  <si>
    <t>F:=INDEX(tbl_Neo_NutrBMFWaard;NeoBerIV!J52)</t>
  </si>
  <si>
    <t>F:=INDEX(tbl_Neo_NutrToevWaard;NeoBerIV!J53)</t>
  </si>
  <si>
    <t>F:=INDEX(tbl_Neo_NutrToevWaard;NeoBerIV!J54)</t>
  </si>
  <si>
    <t>F:=INDEX(tbl_Neo_NutrToevWaard;NeoBerIV!J55)</t>
  </si>
  <si>
    <t>F:=INDEX(tbl_Neo_NutrToevWaard;NeoBerIV!J56)</t>
  </si>
  <si>
    <t>F:=INDEX(tbl_Neo_NutrToevWaard;NeoBerIV!J58)</t>
  </si>
  <si>
    <t>F:=INDEX(tbl_Neo_NutrToevWaard;NeoBerIV!J59)</t>
  </si>
  <si>
    <t>F:=INDEX(tbl_Neo_NutrToevWaard;NeoBerIV!J60)</t>
  </si>
  <si>
    <t>F:=INDEX(tbl_Neo_NutrToevWaard;NeoBerIV!J61)</t>
  </si>
  <si>
    <t>F:=INDEX(tbl_Neo_NutrBMFWaard;NeoBer1700!J52)</t>
  </si>
  <si>
    <t>F:=INDEX(tbl_Neo_NutrToevWaard;NeoBer1700!J53)</t>
  </si>
  <si>
    <t>F:=INDEX(tbl_Neo_NutrToevWaard;NeoBer1700!J54)</t>
  </si>
  <si>
    <t>F:=INDEX(tbl_Neo_NutrToevWaard;NeoBer1700!J55)</t>
  </si>
  <si>
    <t>F:=INDEX(tbl_Neo_NutrToevWaard;NeoBer1700!J56)</t>
  </si>
  <si>
    <t>F:=INDEX(tbl_Neo_NutrToevWaard;NeoBer1700!J58)</t>
  </si>
  <si>
    <t>F:=INDEX(tbl_Neo_NutrToevWaard;NeoBer1700!J59)</t>
  </si>
  <si>
    <t>F:=INDEX(tbl_Neo_NutrToevWaard;NeoBer1700!J60)</t>
  </si>
  <si>
    <t>F:=INDEX(tbl_Neo_NutrToevWaard;NeoBer1700!J61)</t>
  </si>
  <si>
    <t>F:=IF(NeoGuiAfspraken!E18=0;"";CONCATENATE(NeoGuiAfspraken!B18;": ";NeoGuiAfspraken!E18;" ";NeoGuiAfspraken!F18;" = "&amp;NeoBerIV!K47&amp;" ml"))</t>
  </si>
  <si>
    <t>F:=IF(NeoGuiAfspraken!E28&gt;0;CONCATENATE(NeoGuiAfspraken!B28;" ";NeoGuiAfspraken!E28;" ";NeoGuiAfspraken!F28);"")</t>
  </si>
  <si>
    <t>F:=CONCATENATE(NeoGuiAfspraken!B19;": ";IF(NeoBerIV!B15=1;"Ja";"Nee"))</t>
  </si>
  <si>
    <t>F:=IF(NeoAfspr1700!E18=0;"";CONCATENATE(NeoAfspr1700!B18;": ";NeoAfspr1700!E18;" ";NeoAfspr1700!F18;" = "&amp;NeoBer1700!K47&amp;" ml"))</t>
  </si>
  <si>
    <t>F:=IF(NeoAfspr1700!E28&gt;0;CONCATENATE(NeoAfspr1700!B28;" ";NeoAfspr1700!E28;" ";NeoAfspr1700!F28);"")</t>
  </si>
  <si>
    <t>F:=CONCATENATE(NeoAfspr1700!B19;": ";IF(NeoBer1700!B15=1;"Ja";"Nee"))</t>
  </si>
  <si>
    <t>F:=IF(INDEX(tbl_Neo_Pos;NeoBer1700!D14;1)=0;"";CONCATENATE(NeoAfspr1700!H21;" ";INDEX(tbl_Neo_Pos;NeoBer1700!D14;1)))</t>
  </si>
  <si>
    <t>F:=IF(INDEX(tbl_Neo_Pos;NeoBer1700!D14;1)=0;"";CONCATENATE("Hoeveelheid 1:  ";NeoAfspr1700!E21;" ";NeoAfspr1700!F21;" ";NeoAfspr1700!G21))</t>
  </si>
  <si>
    <t>F:=IF(INDEX(tbl_Neo_Pos;NeoBer1700!D14;1)=0;"";CONCATENATE("Hoeveelheid 2:  ";NeoAfspr1700!E22;" ";NeoAfspr1700!F22;" ";NeoAfspr1700!G22))</t>
  </si>
  <si>
    <t>F:=IF(INDEX(tbl_Neo_Pos;NeoBerIV!D14;1)=0;"";CONCATENATE(NeoGuiAfspraken!H21;" ";INDEX(tbl_Neo_Pos;NeoBerIV!D14;1)))</t>
  </si>
  <si>
    <t>F:=IF(INDEX(tbl_Neo_Pos;NeoBerIV!D14;1)=0;"";CONCATENATE("Hoeveelheid 1:  ";NeoGuiAfspraken!E21;" ";NeoGuiAfspraken!F21;" ";NeoGuiAfspraken!G21))</t>
  </si>
  <si>
    <t>F:=IF(INDEX(tbl_Neo_Pos;NeoBerIV!D14;1)=0;"";CONCATENATE("Hoeveelheid 2:  ";NeoGuiAfspraken!E22;" ";NeoGuiAfspraken!F22;" ";NeoGuiAfspraken!G22))</t>
  </si>
  <si>
    <t>F:=IF(NeoBerIV!B18&gt;0;(24*NeoBerIV!B18/10-M6)*10;"")</t>
  </si>
  <si>
    <t>F:=IF(24*NeoBerIV!B18&gt;0;TRUNC(24*NeoBerIV!B18/10);"")</t>
  </si>
  <si>
    <t>F:=IF(M6&lt;&gt;"";M6/24;"")</t>
  </si>
  <si>
    <t>F:=NeoGuiAfspraken!B30</t>
  </si>
  <si>
    <t>F:=IF(NeoBerIV!$K$39&gt;0;TRUNC(NeoBerIV!$C$39);"")</t>
  </si>
  <si>
    <t>F:=IF(NeoBerIV!$K$45&gt;0;(NeoBerIV!$K$45-M16)*100;"")</t>
  </si>
  <si>
    <t>F:=IF(NeoBerIV!$K$45&gt;0;TRUNC(NeoBerIV!$K$45);"")</t>
  </si>
  <si>
    <t>F:=INDEX(tbl_Neo_Opl;NeoBerIV!D45+1;1)</t>
  </si>
  <si>
    <t>F:=IF(NeoBerIV!$K$40&gt;0;TRUNC(NeoBerIV!$C$40);"")</t>
  </si>
  <si>
    <t>F:=IF(NeoBerIV!$K$42&gt;0;TRUNC(NeoBerIV!$C$42);"")</t>
  </si>
  <si>
    <t>F:=IF(NeoBerIV!$K$41&gt;0;TRUNC(NeoBerIV!$C$41);"")</t>
  </si>
  <si>
    <t>F:=IF(M17&lt;&gt;"";IF(ROUND((M17+N17/100)/24;1)&gt;0;ROUND((M17+N17/100)/24;1);"");"")</t>
  </si>
  <si>
    <t>F:=ROUND(IF(SUM(M8:N16)&gt;0;(SUM(M8:M16)+SUM(N8:N16)/100-M17)*100;"");0)</t>
  </si>
  <si>
    <t>F:=IF(SUM(M8:N16)&gt;0;TRUNC(SUM(M8:M16)+SUM(N8:N16)/100);"")</t>
  </si>
  <si>
    <t>F:=IF(NeoBer1700!B18&gt;0;(24*NeoBer1700!B18/10-M6)*10;"")</t>
  </si>
  <si>
    <t>F:=IF(24*NeoBer1700!B18&gt;0;TRUNC(24*NeoBer1700!B18/10);"")</t>
  </si>
  <si>
    <t>F:=NeoAfspr1700!B30</t>
  </si>
  <si>
    <t>F:=IF(NeoBer1700!$K$39&gt;0;TRUNC(NeoBer1700!$C$39);"")</t>
  </si>
  <si>
    <t>F:=IF(NeoBer1700!$K$45&gt;0;(NeoBer1700!$K$45-M16)*100;"")</t>
  </si>
  <si>
    <t>F:=IF(NeoBer1700!$K$45&gt;0;TRUNC(NeoBer1700!$K$45);"")</t>
  </si>
  <si>
    <t>F:=INDEX(tbl_Neo_Opl;NeoBer1700!D45+1;1)</t>
  </si>
  <si>
    <t>F:=IF(NeoBer1700!$K$40&gt;0;TRUNC(NeoBer1700!$C$40);"")</t>
  </si>
  <si>
    <t>F:=IF(NeoBer1700!$K$42&gt;0;TRUNC(NeoBer1700!$C$42);"")</t>
  </si>
  <si>
    <t>F:=IF(NeoBer1700!$K$41&gt;0;TRUNC(NeoBer1700!$C$41);"")</t>
  </si>
  <si>
    <t>F:=IF(SUM(M8:N16)&gt;0;(SUM(M8:M16)+SUM(N8:N16)/100-M17)*100;"")</t>
  </si>
  <si>
    <t>F:=CONCATENATE(IF(B7;CONCATENATE(A7; " (";C7; " keer per ";INDEX(tbl_Ped_Periode;D7;0);")") &amp; " - ";"");IF(B8;CONCATENATE(A8; " (";C8; " keer per ";INDEX(tbl_Ped_Periode;D8;0);")") &amp; " - ";"");IF(B9;CONCATENATE(A9; " (";C9; " keer per ";INDEX(tbl_Ped_Periode;D9;0);")") &amp; " - ";"");IF(B10;CONCATENATE(A10; " (";C10; " keer per ";INDEX(tbl_Ped_Periode;D10;0);")") &amp; " - ";"");IF(B11; CONCATENATE(A11;" (";B12;" dd ";IF(D11;C11 &amp; " ";"");IF(D12;C12 &amp; " ";"");IF(D13;C13 &amp; " ";"");IF(D14;C14 &amp; " ";"");") - ");"");IF(B15;A15 &amp; " - ";"");IF(B16;A16 &amp; " - ";"");IF(B17;A17 &amp; " - ";"");IF(B42;CONCATENATE(A42;" (";C42;" dd";") - ");"");IF(B43;CONCATENATE(A43;" (";C43;" dd";") - ");"");IF(B44;A44 &amp; " (à 8 uur (8-16-24 uur) en bij (toenemende) onrust) - ";""))</t>
  </si>
  <si>
    <t>F:=CONCATENATE(IF(B27;CONCATENATE(A27;" (";C27; " ";C28;" ";C29; ") - ");"");IF(B30;CONCATENATE(A30;" (";C30; " ";C31;" ";C32; ") - ");"");IF(B33;CONCATENATE(A33;" (";C33; " ";C34;" ";C35; ") - ");"");IF(B36;CONCATENATE(A36;IF(D36;CONCATENATE(" (";C36;")");"");" - ");"");IF(B37;CONCATENATE(A37;IF(D37;CONCATENATE(" (";C37;")");"");" - ");"");IF(B38;CONCATENATE(A38;IF(D38;CONCATENATE(" (";C38;")");"");" - ");"");IF(B39;CONCATENATE(A39;" (";C39; " ";D40;" ";C40; ") - ");""))</t>
  </si>
  <si>
    <t>F:=CONCATENATE(IF(B20;CONCATENATE(A20;" - ");"");IF(B21;A21 &amp; " - ";"");IF(B22;A22 &amp; " - ";"");IF(B23;A23 &amp; " - ";"");IF(B24;A24 &amp; " - ";"");IF(B25;A25 &amp; " - ";"");)</t>
  </si>
  <si>
    <t>F:=CONCATENATE(IF(F7;E7 &amp; " - ";"");IF(F8;E8 &amp; " - ";"");IF(F16; CONCATENATE(E16;" (à ";G16;" uur";") - ");"");IF(F18; CONCATENATE(E18;" (à ";G18;" uur met ";H18;") - ");"");IF(F9;E9 &amp; " - ";"");IF(F10;E10 &amp; " - ";"");IF(F11;E11 &amp; " - ";"");IF(F12;E12 &amp; " - ";"");IF(F13;E13 &amp; " - ";"");IF(F14;E14 &amp; " - ";"");IF(F15;E15 &amp; " - ";"");IF(_Ped_AfsprOverig="";"";_Ped_AfsprOverig); " - ")</t>
  </si>
  <si>
    <t>F:=SUM(P2:P31)</t>
  </si>
  <si>
    <t>Blanco</t>
  </si>
  <si>
    <t>GlobNames!$A$1:$I$1825</t>
  </si>
  <si>
    <t>PatData!#REF!</t>
  </si>
  <si>
    <t>_AchterNaam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</si>
  <si>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</si>
  <si>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</si>
  <si>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</si>
  <si>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</si>
  <si>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</si>
  <si>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</si>
  <si>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</si>
  <si>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</si>
  <si>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</si>
  <si>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</si>
  <si>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</si>
  <si>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</si>
  <si>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</si>
  <si>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</si>
  <si>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</si>
  <si>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</si>
  <si>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</si>
  <si>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</si>
  <si>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</si>
  <si>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</si>
  <si>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</si>
  <si>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</si>
  <si>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</si>
  <si>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</si>
  <si>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</si>
  <si>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</si>
  <si>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</si>
  <si>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</si>
  <si>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</si>
  <si>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</si>
  <si>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</si>
  <si>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</si>
  <si>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</si>
  <si>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</si>
  <si>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</si>
  <si>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</si>
  <si>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</si>
  <si>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</si>
  <si>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</si>
  <si>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</si>
  <si>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</si>
  <si>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</si>
  <si>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</si>
  <si>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</si>
  <si>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</si>
  <si>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</si>
  <si>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</si>
  <si>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</si>
  <si>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</si>
  <si>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</si>
  <si>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</si>
  <si>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</si>
  <si>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</si>
  <si>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</si>
  <si>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</si>
  <si>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</si>
  <si>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</si>
  <si>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</si>
  <si>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</si>
  <si>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</si>
  <si>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</si>
  <si>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</si>
  <si>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</si>
  <si>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</si>
  <si>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</si>
  <si>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</si>
  <si>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</si>
  <si>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</si>
  <si>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</si>
  <si>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</si>
  <si>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</si>
  <si>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</si>
  <si>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</si>
  <si>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</si>
  <si>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</si>
  <si>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</si>
  <si>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</si>
  <si>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</si>
  <si>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</si>
  <si>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</si>
  <si>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</si>
  <si>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</si>
  <si>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</si>
  <si>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</si>
  <si>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</si>
  <si>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</si>
  <si>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</si>
  <si>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</si>
  <si>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</si>
  <si>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</si>
  <si>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</si>
  <si>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</si>
  <si>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</si>
  <si>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</si>
  <si>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</si>
  <si>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</si>
  <si>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</si>
  <si>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</si>
  <si>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</si>
  <si>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</si>
  <si>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</si>
  <si>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</si>
  <si>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</si>
  <si>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</si>
  <si>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</si>
  <si>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</si>
  <si>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</si>
  <si>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</si>
  <si>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</si>
  <si>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</si>
  <si>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</si>
  <si>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</si>
  <si>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</si>
  <si>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</si>
  <si>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</si>
  <si>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</si>
  <si>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</si>
  <si>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</si>
  <si>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</si>
  <si>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</si>
  <si>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</si>
  <si>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</si>
  <si>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</si>
  <si>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</si>
  <si>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</si>
  <si>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</si>
  <si>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</si>
  <si>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</si>
  <si>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</si>
  <si>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</si>
  <si>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</si>
  <si>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</si>
  <si>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</si>
  <si>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</si>
  <si>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</si>
  <si>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</si>
  <si>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</si>
  <si>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</si>
  <si>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</si>
  <si>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</si>
  <si>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</si>
  <si>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</si>
  <si>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</si>
  <si>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</si>
  <si>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</si>
  <si>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</si>
  <si>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</si>
  <si>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</si>
  <si>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</si>
  <si>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</si>
  <si>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</si>
  <si>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</si>
  <si>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</si>
  <si>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</si>
  <si>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</si>
  <si>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</si>
  <si>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</si>
  <si>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</si>
  <si>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</si>
  <si>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</si>
  <si>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</si>
  <si>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</si>
  <si>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</si>
  <si>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</si>
  <si>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</si>
  <si>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</si>
  <si>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</si>
  <si>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</si>
  <si>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</si>
  <si>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</si>
  <si>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</si>
  <si>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</si>
  <si>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</si>
  <si>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</si>
  <si>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</si>
  <si>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</si>
  <si>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</si>
  <si>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</si>
  <si>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</si>
  <si>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</si>
  <si>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</si>
  <si>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</si>
  <si>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</si>
  <si>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</si>
  <si>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</si>
  <si>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</si>
  <si>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</si>
  <si>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</si>
  <si>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</si>
  <si>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</si>
  <si>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</si>
  <si>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</si>
  <si>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</si>
  <si>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</si>
  <si>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</si>
  <si>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</si>
  <si>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</si>
  <si>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</si>
  <si>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</si>
  <si>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</si>
  <si>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</si>
  <si>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</si>
  <si>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</si>
  <si>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</si>
  <si>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</si>
  <si>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</si>
  <si>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</si>
  <si>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</si>
  <si>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</si>
  <si>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</si>
  <si>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</si>
  <si>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</si>
  <si>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</si>
  <si>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</si>
  <si>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</si>
  <si>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</si>
  <si>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</si>
  <si>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</si>
  <si>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</si>
  <si>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</si>
  <si>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</si>
  <si>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</si>
  <si>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</si>
  <si>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</si>
  <si>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</si>
  <si>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</si>
  <si>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</si>
  <si>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</si>
  <si>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</si>
  <si>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</si>
  <si>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</si>
  <si>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</si>
  <si>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</si>
  <si>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</si>
  <si>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</si>
  <si>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</si>
  <si>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</si>
  <si>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</si>
  <si>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</si>
  <si>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</si>
  <si>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_Glob_MedDisc_Keuze_01</t>
  </si>
  <si>
    <t>_Glob_MedDisc_Keuze_02</t>
  </si>
  <si>
    <t>_Glob_MedDisc_Keuze_03</t>
  </si>
  <si>
    <t>_Glob_MedDisc_Keuze_04</t>
  </si>
  <si>
    <t>_Glob_MedDisc_Keuze_05</t>
  </si>
  <si>
    <t>_Glob_MedDisc_Keuze_06</t>
  </si>
  <si>
    <t>_Glob_MedDisc_Keuze_07</t>
  </si>
  <si>
    <t>_Glob_MedDisc_Keuze_08</t>
  </si>
  <si>
    <t>_Glob_MedDisc_Keuze_09</t>
  </si>
  <si>
    <t>_Glob_MedDisc_Keuze_10</t>
  </si>
  <si>
    <t>_Glob_MedDisc_Keuze_11</t>
  </si>
  <si>
    <t>_Glob_MedDisc_Keuze_12</t>
  </si>
  <si>
    <t>_Glob_MedDisc_Keuze_13</t>
  </si>
  <si>
    <t>_Glob_MedDisc_Keuze_14</t>
  </si>
  <si>
    <t>_Glob_MedDisc_Keuze_15</t>
  </si>
  <si>
    <t>_Glob_MedDisc_Keuze_16</t>
  </si>
  <si>
    <t>_Glob_MedDisc_Keuze_17</t>
  </si>
  <si>
    <t>_Glob_MedDisc_Keuze_18</t>
  </si>
  <si>
    <t>_Glob_MedDisc_Keuze_19</t>
  </si>
  <si>
    <t>_Glob_MedDisc_Keuze_20</t>
  </si>
  <si>
    <t>_Glob_MedDisc_Keuze_21</t>
  </si>
  <si>
    <t>_Glob_MedDisc_Keuze_22</t>
  </si>
  <si>
    <t>_Glob_MedDisc_Keuze_23</t>
  </si>
  <si>
    <t>_Glob_MedDisc_Keuze_24</t>
  </si>
  <si>
    <t>_Glob_MedDisc_Keuze_25</t>
  </si>
  <si>
    <t>_Glob_MedDisc_Keuze_26</t>
  </si>
  <si>
    <t>_Glob_MedDisc_Keuze_27</t>
  </si>
  <si>
    <t>_Glob_MedDisc_Keuze_28</t>
  </si>
  <si>
    <t>_Glob_MedDisc_Keuze_29</t>
  </si>
  <si>
    <t>_Glob_MedDisc_Keuze_30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</si>
  <si>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</si>
  <si>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</si>
  <si>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</si>
  <si>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</si>
  <si>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</si>
  <si>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</si>
  <si>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</si>
  <si>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</si>
  <si>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</si>
  <si>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</si>
  <si>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</si>
  <si>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</si>
  <si>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</si>
  <si>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</si>
  <si>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</si>
  <si>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</si>
  <si>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</si>
  <si>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</si>
  <si>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</si>
  <si>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</si>
  <si>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</si>
  <si>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</si>
  <si>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</si>
  <si>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</si>
  <si>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</si>
  <si>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</si>
  <si>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</si>
  <si>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</si>
  <si>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</si>
  <si>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</si>
  <si>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</si>
  <si>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</si>
  <si>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</si>
  <si>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</si>
  <si>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</si>
  <si>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</si>
  <si>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</si>
  <si>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</si>
  <si>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</si>
  <si>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</si>
  <si>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</si>
  <si>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</si>
  <si>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</si>
  <si>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</si>
  <si>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</si>
  <si>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</si>
  <si>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</si>
  <si>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</si>
  <si>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</si>
  <si>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</si>
  <si>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</si>
  <si>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</si>
  <si>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</si>
  <si>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</si>
  <si>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</si>
  <si>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</si>
  <si>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</si>
  <si>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</si>
  <si>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</si>
  <si>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</si>
  <si>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</si>
  <si>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</si>
  <si>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</si>
  <si>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</si>
  <si>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</si>
  <si>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</si>
  <si>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</si>
  <si>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</si>
  <si>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</si>
  <si>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</si>
  <si>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</si>
  <si>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</si>
  <si>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</si>
  <si>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</si>
  <si>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</si>
  <si>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</si>
  <si>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</si>
  <si>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</si>
  <si>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</si>
  <si>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</si>
  <si>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</si>
  <si>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</si>
  <si>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</si>
  <si>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</si>
  <si>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</si>
  <si>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</si>
  <si>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</si>
  <si>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</si>
  <si>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</si>
  <si>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</si>
  <si>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</si>
  <si>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</si>
  <si>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</si>
  <si>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</si>
  <si>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</si>
  <si>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</si>
  <si>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</si>
  <si>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</si>
  <si>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</si>
  <si>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</si>
  <si>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</si>
  <si>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</si>
  <si>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</si>
  <si>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</si>
  <si>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</si>
  <si>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</si>
  <si>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</si>
  <si>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</si>
  <si>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</si>
  <si>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</si>
  <si>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</si>
  <si>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</si>
  <si>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</si>
  <si>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</si>
  <si>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</si>
  <si>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</si>
  <si>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</si>
  <si>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</si>
  <si>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</si>
  <si>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</si>
  <si>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</si>
  <si>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</si>
  <si>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</si>
  <si>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</si>
  <si>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</si>
  <si>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</si>
  <si>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</si>
  <si>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</si>
  <si>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</si>
  <si>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</si>
  <si>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</si>
  <si>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</si>
  <si>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</si>
  <si>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</si>
  <si>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</si>
  <si>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</si>
  <si>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</si>
  <si>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</si>
  <si>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</si>
  <si>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</si>
  <si>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</si>
  <si>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</si>
  <si>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</si>
  <si>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</si>
  <si>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</si>
  <si>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</si>
  <si>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</si>
  <si>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</si>
  <si>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</si>
  <si>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</si>
  <si>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</si>
  <si>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</si>
  <si>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</si>
  <si>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</si>
  <si>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</si>
  <si>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</si>
  <si>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</si>
  <si>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</si>
  <si>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</si>
  <si>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</si>
  <si>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</si>
  <si>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</si>
  <si>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</si>
  <si>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</si>
  <si>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</si>
  <si>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</si>
  <si>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</si>
  <si>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</si>
  <si>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</si>
  <si>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</si>
  <si>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</si>
  <si>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</si>
  <si>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</si>
  <si>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</si>
  <si>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</si>
  <si>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</si>
  <si>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</si>
  <si>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</si>
  <si>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</si>
  <si>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</si>
  <si>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</si>
  <si>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</si>
  <si>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</si>
  <si>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</si>
  <si>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</si>
  <si>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</si>
  <si>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</si>
  <si>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</si>
  <si>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</si>
  <si>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</si>
  <si>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</si>
  <si>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</si>
  <si>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</si>
  <si>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</si>
  <si>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</si>
  <si>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</si>
  <si>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</si>
  <si>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</si>
  <si>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</si>
  <si>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</si>
  <si>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</si>
  <si>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</si>
  <si>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</si>
  <si>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</si>
  <si>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</si>
  <si>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</si>
  <si>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</si>
  <si>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</si>
  <si>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</si>
  <si>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</si>
  <si>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</si>
  <si>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</si>
  <si>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</si>
  <si>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</si>
  <si>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</si>
  <si>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</si>
  <si>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</si>
  <si>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</si>
  <si>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</si>
  <si>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</si>
  <si>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</si>
  <si>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</si>
  <si>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</si>
  <si>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</si>
  <si>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</si>
  <si>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</si>
  <si>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</si>
  <si>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</si>
  <si>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</si>
  <si>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</si>
  <si>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</si>
  <si>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</si>
  <si>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</si>
  <si>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</si>
  <si>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</si>
  <si>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</si>
  <si>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</si>
  <si>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</si>
  <si>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</si>
  <si>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</si>
  <si>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_Neo_InfB_VochtExtra_01</t>
  </si>
  <si>
    <t>_Neo_InfB_VochtExtra_02</t>
  </si>
  <si>
    <t>_Neo_InfB_VochtExtra_11</t>
  </si>
  <si>
    <t>_Neo_InfB_VochtExtra_12</t>
  </si>
  <si>
    <t>_Neo_InfB_VochtExtra_13</t>
  </si>
  <si>
    <t>_Neo_InfB_VochtExtra_14</t>
  </si>
  <si>
    <t>_Neo_InfB_VochtExtra_03</t>
  </si>
  <si>
    <t>_Neo_InfB_VochtExtra_04</t>
  </si>
  <si>
    <t>_Neo_InfB_VochtExtra_05</t>
  </si>
  <si>
    <t>_Neo_InfB_VochtExtra_06</t>
  </si>
  <si>
    <t>_Neo_InfB_VochtExtra_07</t>
  </si>
  <si>
    <t>_Neo_InfB_VochtExtra_08</t>
  </si>
  <si>
    <t>_Neo_InfB_VochtExtra_09</t>
  </si>
  <si>
    <t>_Neo_InfB_VochtExtra_10</t>
  </si>
  <si>
    <t>_Neo_1700_VochtExtra_01</t>
  </si>
  <si>
    <t>_Neo_1700_VochtExtra_02</t>
  </si>
  <si>
    <t>_Neo_1700_VochtExtra_11</t>
  </si>
  <si>
    <t>_Neo_1700_VochtExtra_12</t>
  </si>
  <si>
    <t>_Neo_1700_VochtExtra_13</t>
  </si>
  <si>
    <t>_Neo_1700_VochtExtra_14</t>
  </si>
  <si>
    <t>_Neo_1700_VochtExtra_03</t>
  </si>
  <si>
    <t>_Neo_1700_VochtExtra_04</t>
  </si>
  <si>
    <t>_Neo_1700_VochtExtra_05</t>
  </si>
  <si>
    <t>_Neo_1700_VochtExtra_06</t>
  </si>
  <si>
    <t>_Neo_1700_VochtExtra_07</t>
  </si>
  <si>
    <t>_Neo_1700_VochtExtra_08</t>
  </si>
  <si>
    <t>_Neo_1700_VochtExtra_09</t>
  </si>
  <si>
    <t>_Neo_1700_VochtExtra_10</t>
  </si>
  <si>
    <t>_Neo_InfB_ArtLijn</t>
  </si>
  <si>
    <t>_Neo_1700_ArtLijn</t>
  </si>
  <si>
    <t>_Neo_InfB_Arts</t>
  </si>
  <si>
    <t>_Neo_1700_Arts</t>
  </si>
  <si>
    <t>_Neo_InfB_Bed</t>
  </si>
  <si>
    <t>_Neo_InfB_DagKeuze</t>
  </si>
  <si>
    <t>_Neo_1700_Bed</t>
  </si>
  <si>
    <t>_Neo_1700_CaCl2</t>
  </si>
  <si>
    <t>_Neo_1700_Dagen</t>
  </si>
  <si>
    <t>_Neo_1700_DagKeuze</t>
  </si>
  <si>
    <t>_Neo_InfB_Fototherapie</t>
  </si>
  <si>
    <t>_Neo_1700_Fototherapie</t>
  </si>
  <si>
    <t>_Neo_InfB_Frequentie_1</t>
  </si>
  <si>
    <t>_Neo_InfB_Frequentie_2</t>
  </si>
  <si>
    <t>_Neo_1700_Frequentie_1</t>
  </si>
  <si>
    <t>_Neo_1700_Frequentie_2</t>
  </si>
  <si>
    <t>_Neo_InfB_GeboorteDatum</t>
  </si>
  <si>
    <t>_Neo_InfB_Gewicht</t>
  </si>
  <si>
    <t>_Neo_InfB_GlucSterkte</t>
  </si>
  <si>
    <t>_Neo_1700_GlucSterkte</t>
  </si>
  <si>
    <t>_Neo_InfB_Hoeveelheid_1</t>
  </si>
  <si>
    <t>_Neo_InfB_Hoeveelheid_2</t>
  </si>
  <si>
    <t>_Neo_1700_Hoeveelheid_1</t>
  </si>
  <si>
    <t>_Neo_1700_Hoeveelheid_2</t>
  </si>
  <si>
    <t>_Neo_InfB_IntakePerKg</t>
  </si>
  <si>
    <t>_Neo_1700_IntakePerKg</t>
  </si>
  <si>
    <t>_Neo_InfB_IntraLipid</t>
  </si>
  <si>
    <t>_Neo_1700_IntraLipid</t>
  </si>
  <si>
    <t>_Neo_InfB_KCl</t>
  </si>
  <si>
    <t>_Neo_1700_KCl</t>
  </si>
  <si>
    <t>_Neo_InfB_Medicament_1</t>
  </si>
  <si>
    <t>_Neo_InfB_Medicament_2</t>
  </si>
  <si>
    <t>_Neo_InfB_Medicament_3</t>
  </si>
  <si>
    <t>_Neo_InfB_Medicament_4</t>
  </si>
  <si>
    <t>_Neo_InfB_Medicament_5</t>
  </si>
  <si>
    <t>_Neo_InfB_Medicament_6</t>
  </si>
  <si>
    <t>_Neo_InfB_Medicament_7</t>
  </si>
  <si>
    <t>_Neo_InfB_Medicament_8</t>
  </si>
  <si>
    <t>_Neo_InfB_Medicament_9</t>
  </si>
  <si>
    <t>_Neo_1700_Medicament_1</t>
  </si>
  <si>
    <t>_Neo_1700_Medicament_2</t>
  </si>
  <si>
    <t>_Neo_1700_Medicament_3</t>
  </si>
  <si>
    <t>_Neo_1700_Medicament_4</t>
  </si>
  <si>
    <t>_Neo_1700_Medicament_5</t>
  </si>
  <si>
    <t>_Neo_1700_Medicament_6</t>
  </si>
  <si>
    <t>_Neo_1700_Medicament_7</t>
  </si>
  <si>
    <t>_Neo_1700_Medicament_8</t>
  </si>
  <si>
    <t>_Neo_1700_Medicament_9</t>
  </si>
  <si>
    <t>_Neo_InfB_MedSterkte_1</t>
  </si>
  <si>
    <t>_Neo_InfB_MedSterkte_2</t>
  </si>
  <si>
    <t>_Neo_InfB_MedSterkte_3</t>
  </si>
  <si>
    <t>_Neo_InfB_MedSterkte_4</t>
  </si>
  <si>
    <t>_Neo_InfB_MedSterkte_5</t>
  </si>
  <si>
    <t>_Neo_InfB_MedSterkte_6</t>
  </si>
  <si>
    <t>_Neo_InfB_MedSterkte_7</t>
  </si>
  <si>
    <t>_Neo_InfB_MedSterkte_8</t>
  </si>
  <si>
    <t>_Neo_InfB_MedSterkte_9</t>
  </si>
  <si>
    <t>_Neo_1700_MedSterkte_1</t>
  </si>
  <si>
    <t>_Neo_1700_MedSterkte_2</t>
  </si>
  <si>
    <t>_Neo_1700_MedSterkte_3</t>
  </si>
  <si>
    <t>_Neo_1700_MedSterkte_4</t>
  </si>
  <si>
    <t>_Neo_1700_MedSterkte_5</t>
  </si>
  <si>
    <t>_Neo_1700_MedSterkte_6</t>
  </si>
  <si>
    <t>_Neo_1700_MedSterkte_7</t>
  </si>
  <si>
    <t>_Neo_1700_MedSterkte_8</t>
  </si>
  <si>
    <t>_Neo_1700_MedSterkte_9</t>
  </si>
  <si>
    <t>_Neo_InfB_MedTekst_1</t>
  </si>
  <si>
    <t>_Neo_InfB_MedTekst_2</t>
  </si>
  <si>
    <t>_Neo_1700_MedTekst_1</t>
  </si>
  <si>
    <t>_Neo_1700_MedTekst_2</t>
  </si>
  <si>
    <t>_Neo_InfB_MgCl2</t>
  </si>
  <si>
    <t>_Neo_1700_MgCl2</t>
  </si>
  <si>
    <t>_Neo_1700_NaCl</t>
  </si>
  <si>
    <t>_Neo_InfB_NICUMix</t>
  </si>
  <si>
    <t>_Neo_1700_NICUMix</t>
  </si>
  <si>
    <t>_Neo_InfB_OplHoev_1</t>
  </si>
  <si>
    <t>_Neo_InfB_OplHoev_2</t>
  </si>
  <si>
    <t>_Neo_InfB_OplHoev_3</t>
  </si>
  <si>
    <t>_Neo_InfB_OplHoev_4</t>
  </si>
  <si>
    <t>_Neo_InfB_OplHoev_5</t>
  </si>
  <si>
    <t>_Neo_InfB_OplHoev_6</t>
  </si>
  <si>
    <t>_Neo_InfB_OplHoev_7</t>
  </si>
  <si>
    <t>_Neo_InfB_OplHoev_8</t>
  </si>
  <si>
    <t>_Neo_InfB_OplHoev_9</t>
  </si>
  <si>
    <t>_Neo_1700_OplHoev_1</t>
  </si>
  <si>
    <t>_Neo_1700_OplHoev_2</t>
  </si>
  <si>
    <t>_Neo_1700_OplHoev_3</t>
  </si>
  <si>
    <t>_Neo_1700_OplHoev_4</t>
  </si>
  <si>
    <t>_Neo_1700_OplHoev_5</t>
  </si>
  <si>
    <t>_Neo_1700_OplHoev_6</t>
  </si>
  <si>
    <t>_Neo_1700_OplHoev_7</t>
  </si>
  <si>
    <t>_Neo_1700_OplHoev_8</t>
  </si>
  <si>
    <t>_Neo_1700_OplHoev_9</t>
  </si>
  <si>
    <t>_Neo_InfB_Oplossing_10</t>
  </si>
  <si>
    <t>_Neo_InfB_Oplossing_11</t>
  </si>
  <si>
    <t>_Neo_InfB_Oplossing_12</t>
  </si>
  <si>
    <t>_Neo_InfB_Oplossing_01</t>
  </si>
  <si>
    <t>_Neo_InfB_Oplossing_02</t>
  </si>
  <si>
    <t>_Neo_InfB_Oplossing_03</t>
  </si>
  <si>
    <t>_Neo_InfB_Oplossing_04</t>
  </si>
  <si>
    <t>_Neo_InfB_Oplossing_05</t>
  </si>
  <si>
    <t>_Neo_InfB_Oplossing_06</t>
  </si>
  <si>
    <t>_Neo_InfB_Oplossing_07</t>
  </si>
  <si>
    <t>_Neo_InfB_Oplossing_08</t>
  </si>
  <si>
    <t>_Neo_InfB_Oplossing_09</t>
  </si>
  <si>
    <t>_Neo_1700_Oplossing_10</t>
  </si>
  <si>
    <t>_Neo_1700_Oplossing_11</t>
  </si>
  <si>
    <t>_Neo_1700_Oplossing_12</t>
  </si>
  <si>
    <t>_Neo_1700_Oplossing_01</t>
  </si>
  <si>
    <t>_Neo_1700_Oplossing_02</t>
  </si>
  <si>
    <t>_Neo_1700_Oplossing_03</t>
  </si>
  <si>
    <t>_Neo_1700_Oplossing_04</t>
  </si>
  <si>
    <t>_Neo_1700_Oplossing_05</t>
  </si>
  <si>
    <t>_Neo_1700_Oplossing_06</t>
  </si>
  <si>
    <t>_Neo_1700_Oplossing_07</t>
  </si>
  <si>
    <t>_Neo_1700_Oplossing_08</t>
  </si>
  <si>
    <t>_Neo_1700_Oplossing_09</t>
  </si>
  <si>
    <t>_Neo_InfB_Parenteraal</t>
  </si>
  <si>
    <t>_Neo_1700_Parenteraal</t>
  </si>
  <si>
    <t>_Neo_InfB_PatNum</t>
  </si>
  <si>
    <t>_Neo_1700_PatNum</t>
  </si>
  <si>
    <t>_Neo_InfB_PercentageKeuze_0</t>
  </si>
  <si>
    <t>_Neo_InfB_PercentageKeuze_1</t>
  </si>
  <si>
    <t>_Neo_InfB_PercentageKeuze_2</t>
  </si>
  <si>
    <t>_Neo_InfB_PercentageKeuze_3</t>
  </si>
  <si>
    <t>_Neo_InfB_PercentageKeuze_4</t>
  </si>
  <si>
    <t>_Neo_InfB_PercentageKeuze_5</t>
  </si>
  <si>
    <t>_Neo_InfB_PercentageKeuze_6</t>
  </si>
  <si>
    <t>_Neo_InfB_PercentageKeuze_7</t>
  </si>
  <si>
    <t>_Neo_InfB_PercentageKeuze_8</t>
  </si>
  <si>
    <t>_Neo_1700_PercentageKeuze_0</t>
  </si>
  <si>
    <t>_Neo_1700_PercentageKeuze_1</t>
  </si>
  <si>
    <t>_Neo_1700_PercentageKeuze_2</t>
  </si>
  <si>
    <t>_Neo_1700_PercentageKeuze_3</t>
  </si>
  <si>
    <t>_Neo_1700_PercentageKeuze_4</t>
  </si>
  <si>
    <t>_Neo_1700_PercentageKeuze_5</t>
  </si>
  <si>
    <t>_Neo_1700_PercentageKeuze_6</t>
  </si>
  <si>
    <t>_Neo_1700_PercentageKeuze_7</t>
  </si>
  <si>
    <t>_Neo_1700_PercentageKeuze_8</t>
  </si>
  <si>
    <t>_Neo_InfB_Primene</t>
  </si>
  <si>
    <t>_Neo_1700_Primene</t>
  </si>
  <si>
    <t>_Neo_InfB_IntralipidSmof</t>
  </si>
  <si>
    <t>_Neo_1700_IntralipidSmof</t>
  </si>
  <si>
    <t>_Neo_InfB_SoluVit</t>
  </si>
  <si>
    <t>_Neo_1700_SoluVit</t>
  </si>
  <si>
    <t>_Neo_InfB_SSTB</t>
  </si>
  <si>
    <t>_Neo_1700_SSTB</t>
  </si>
  <si>
    <t>_Neo_InfB_Stand_10</t>
  </si>
  <si>
    <t>_Neo_InfB_Stand_11</t>
  </si>
  <si>
    <t>_Neo_InfB_Stand_12</t>
  </si>
  <si>
    <t>_Neo_InfB_Stand_01</t>
  </si>
  <si>
    <t>_Neo_InfB_Stand_02</t>
  </si>
  <si>
    <t>_Neo_InfB_Stand_03</t>
  </si>
  <si>
    <t>_Neo_InfB_Stand_04</t>
  </si>
  <si>
    <t>_Neo_InfB_Stand_05</t>
  </si>
  <si>
    <t>_Neo_InfB_Stand_06</t>
  </si>
  <si>
    <t>_Neo_InfB_Stand_07</t>
  </si>
  <si>
    <t>_Neo_InfB_Stand_08</t>
  </si>
  <si>
    <t>_Neo_InfB_Stand_09</t>
  </si>
  <si>
    <t>_Neo_1700_Stand_10</t>
  </si>
  <si>
    <t>_Neo_1700_Stand_11</t>
  </si>
  <si>
    <t>_Neo_1700_Stand_12</t>
  </si>
  <si>
    <t>_Neo_1700_Stand_01</t>
  </si>
  <si>
    <t>_Neo_1700_Stand_02</t>
  </si>
  <si>
    <t>_Neo_1700_Stand_03</t>
  </si>
  <si>
    <t>_Neo_1700_Stand_04</t>
  </si>
  <si>
    <t>_Neo_1700_Stand_05</t>
  </si>
  <si>
    <t>_Neo_1700_Stand_06</t>
  </si>
  <si>
    <t>_Neo_1700_Stand_07</t>
  </si>
  <si>
    <t>_Neo_1700_Stand_08</t>
  </si>
  <si>
    <t>_Neo_1700_Stand_09</t>
  </si>
  <si>
    <t>_Neo_InfB_Sterkte_1</t>
  </si>
  <si>
    <t>_Neo_InfB_Sterkte_2</t>
  </si>
  <si>
    <t>_Neo_InfB_Sterkte_3</t>
  </si>
  <si>
    <t>_Neo_InfB_Sterkte_4</t>
  </si>
  <si>
    <t>_Neo_InfB_Sterkte_5</t>
  </si>
  <si>
    <t>_Neo_InfB_Sterkte_6</t>
  </si>
  <si>
    <t>_Neo_InfB_Sterkte_7</t>
  </si>
  <si>
    <t>_Neo_InfB_Sterkte_8</t>
  </si>
  <si>
    <t>_Neo_InfB_Sterkte_9</t>
  </si>
  <si>
    <t>_Neo_InfB_Supervisor</t>
  </si>
  <si>
    <t>_Neo_1700_Supervisor</t>
  </si>
  <si>
    <t>_Neo_InfB_Toevoeging_0</t>
  </si>
  <si>
    <t>_Neo_InfB_Toevoeging_1</t>
  </si>
  <si>
    <t>_Neo_InfB_Toevoeging_2</t>
  </si>
  <si>
    <t>_Neo_InfB_Toevoeging_3</t>
  </si>
  <si>
    <t>_Neo_InfB_Toevoeging_4</t>
  </si>
  <si>
    <t>_Neo_InfB_Toevoeging_5</t>
  </si>
  <si>
    <t>_Neo_InfB_Toevoeging_6</t>
  </si>
  <si>
    <t>_Neo_InfB_Toevoeging_7</t>
  </si>
  <si>
    <t>_Neo_InfB_Toevoeging_8</t>
  </si>
  <si>
    <t>_Neo_1700_Toevoeging_0</t>
  </si>
  <si>
    <t>_Neo_1700_Toevoeging_1</t>
  </si>
  <si>
    <t>_Neo_1700_Toevoeging_2</t>
  </si>
  <si>
    <t>_Neo_1700_Toevoeging_3</t>
  </si>
  <si>
    <t>_Neo_1700_Toevoeging_4</t>
  </si>
  <si>
    <t>_Neo_1700_Toevoeging_5</t>
  </si>
  <si>
    <t>_Neo_1700_Toevoeging_6</t>
  </si>
  <si>
    <t>_Neo_1700_Toevoeging_7</t>
  </si>
  <si>
    <t>_Neo_1700_Toevoeging_8</t>
  </si>
  <si>
    <t>_Neo_InfB_TPNCaCl2</t>
  </si>
  <si>
    <t>_Neo_InfB_TPNNacl</t>
  </si>
  <si>
    <t>_Neo_InfB_Voeding</t>
  </si>
  <si>
    <t>_Neo_1700_Voeding</t>
  </si>
  <si>
    <t>_Neo_InfB_Voornaam</t>
  </si>
  <si>
    <t>_Neo_1700_Weken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</si>
  <si>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</si>
  <si>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</si>
  <si>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</si>
  <si>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</si>
  <si>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</si>
  <si>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</si>
  <si>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</si>
  <si>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</si>
  <si>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</si>
  <si>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</si>
  <si>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</si>
  <si>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</si>
  <si>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</si>
  <si>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</si>
  <si>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</si>
  <si>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</si>
  <si>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</si>
  <si>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</si>
  <si>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</si>
  <si>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</si>
  <si>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</si>
  <si>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</si>
  <si>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</si>
  <si>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</si>
  <si>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</si>
  <si>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</si>
  <si>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</si>
  <si>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</si>
  <si>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</si>
  <si>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</si>
  <si>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</si>
  <si>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</si>
  <si>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</si>
  <si>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</si>
  <si>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</si>
  <si>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</si>
  <si>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</si>
  <si>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</si>
  <si>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</si>
  <si>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</si>
  <si>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</si>
  <si>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</si>
  <si>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</si>
  <si>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</si>
  <si>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</si>
  <si>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</si>
  <si>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</si>
  <si>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</si>
  <si>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</si>
  <si>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</si>
  <si>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</si>
  <si>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</si>
  <si>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</si>
  <si>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</si>
  <si>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</si>
  <si>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</si>
  <si>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</si>
  <si>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</si>
  <si>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</si>
  <si>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</si>
  <si>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</si>
  <si>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</si>
  <si>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</si>
  <si>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</si>
  <si>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</si>
  <si>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</si>
  <si>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</si>
  <si>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</si>
  <si>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</si>
  <si>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</si>
  <si>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</si>
  <si>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</si>
  <si>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</si>
  <si>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</si>
  <si>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</si>
  <si>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</si>
  <si>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</si>
  <si>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</si>
  <si>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</si>
  <si>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</si>
  <si>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</si>
  <si>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</si>
  <si>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</si>
  <si>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</si>
  <si>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</si>
  <si>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</si>
  <si>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</si>
  <si>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</si>
  <si>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</si>
  <si>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</si>
  <si>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</si>
  <si>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</si>
  <si>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</si>
  <si>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</si>
  <si>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</si>
  <si>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</si>
  <si>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</si>
  <si>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</si>
  <si>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</si>
  <si>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</si>
  <si>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</si>
  <si>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</si>
  <si>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</si>
  <si>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</si>
  <si>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</si>
  <si>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</si>
  <si>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</si>
  <si>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</si>
  <si>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</si>
  <si>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</si>
  <si>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</si>
  <si>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</si>
  <si>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</si>
  <si>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</si>
  <si>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</si>
  <si>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</si>
  <si>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</si>
  <si>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</si>
  <si>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</si>
  <si>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</si>
  <si>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</si>
  <si>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</si>
  <si>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</si>
  <si>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</si>
  <si>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</si>
  <si>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</si>
  <si>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</si>
  <si>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</si>
  <si>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</si>
  <si>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</si>
  <si>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</si>
  <si>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</si>
  <si>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</si>
  <si>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</si>
  <si>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</si>
  <si>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</si>
  <si>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</si>
  <si>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</si>
  <si>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</si>
  <si>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</si>
  <si>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</si>
  <si>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</si>
  <si>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</si>
  <si>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</si>
  <si>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</si>
  <si>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</si>
  <si>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</si>
  <si>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</si>
  <si>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</si>
  <si>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</si>
  <si>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</si>
  <si>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</si>
  <si>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</si>
  <si>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</si>
  <si>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</si>
  <si>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</si>
  <si>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</si>
  <si>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</si>
  <si>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</si>
  <si>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</si>
  <si>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</si>
  <si>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</si>
  <si>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</si>
  <si>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</si>
  <si>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</si>
  <si>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</si>
  <si>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</si>
  <si>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</si>
  <si>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</si>
  <si>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</si>
  <si>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</si>
  <si>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</si>
  <si>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</si>
  <si>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</si>
  <si>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</si>
  <si>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</si>
  <si>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</si>
  <si>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</si>
  <si>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</si>
  <si>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</si>
  <si>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</si>
  <si>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</si>
  <si>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</si>
  <si>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</si>
  <si>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</si>
  <si>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</si>
  <si>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</si>
  <si>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</si>
  <si>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</si>
  <si>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</si>
  <si>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</si>
  <si>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</si>
  <si>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</si>
  <si>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</si>
  <si>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</si>
  <si>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</si>
  <si>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</si>
  <si>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</si>
  <si>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</si>
  <si>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</si>
  <si>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</si>
  <si>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</si>
  <si>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</si>
  <si>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</si>
  <si>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</si>
  <si>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</si>
  <si>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</si>
  <si>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</si>
  <si>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</si>
  <si>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</si>
  <si>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</si>
  <si>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</si>
  <si>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</si>
  <si>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</si>
  <si>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</si>
  <si>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</si>
  <si>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</si>
  <si>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</si>
  <si>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</si>
  <si>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</si>
  <si>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</si>
  <si>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</si>
  <si>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</si>
  <si>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</si>
  <si>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</si>
  <si>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</si>
  <si>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</si>
  <si>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</si>
  <si>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</si>
  <si>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</si>
  <si>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</si>
  <si>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</si>
  <si>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</si>
  <si>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</si>
  <si>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</si>
  <si>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</si>
  <si>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</si>
  <si>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</si>
  <si>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</si>
  <si>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</si>
  <si>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</si>
  <si>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</si>
  <si>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</si>
  <si>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</si>
  <si>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</si>
  <si>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</si>
  <si>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</si>
  <si>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</si>
  <si>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</si>
  <si>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</si>
  <si>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</si>
  <si>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</si>
  <si>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</si>
  <si>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</si>
  <si>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</si>
  <si>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</si>
  <si>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</si>
  <si>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</si>
  <si>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</si>
  <si>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</si>
  <si>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</si>
  <si>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</si>
  <si>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</si>
  <si>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</si>
  <si>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</si>
  <si>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</si>
  <si>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</si>
  <si>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</si>
  <si>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</si>
  <si>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</si>
  <si>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</si>
  <si>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</si>
  <si>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</si>
  <si>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</si>
  <si>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</si>
  <si>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</si>
  <si>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</si>
  <si>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</si>
  <si>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</si>
  <si>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</si>
  <si>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</si>
  <si>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</si>
  <si>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</si>
  <si>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</si>
  <si>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</si>
  <si>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</si>
  <si>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</si>
  <si>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</si>
  <si>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</si>
  <si>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</si>
  <si>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</si>
  <si>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</si>
  <si>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_Ped_Ent_Speciale_01</t>
  </si>
  <si>
    <t>_Ped_Ent_Speciale_02</t>
  </si>
  <si>
    <t>_Ped_Ent_Speciale_03</t>
  </si>
  <si>
    <t>_Ped_Ent_Speciale_04</t>
  </si>
  <si>
    <t>_Ped_Ent_Speciale_05</t>
  </si>
  <si>
    <t>_Ped_Ent_Speciale_06</t>
  </si>
  <si>
    <t>_Ped_Ent_Speciale_07</t>
  </si>
  <si>
    <t>_Ped_Ent_Speciale_08</t>
  </si>
  <si>
    <t>_Ped_Ent_Speciale_09</t>
  </si>
  <si>
    <t>_Ped_Ent_Speciale_10</t>
  </si>
  <si>
    <t>_Ped_Ent_Speciale_11</t>
  </si>
  <si>
    <t>_Ped_Ent_Speciale_12</t>
  </si>
  <si>
    <t>_Ped_Ent_Vol_1</t>
  </si>
  <si>
    <t>_Ped_Ent_Vol_2</t>
  </si>
  <si>
    <t>_Ped_Ent_Vol_3</t>
  </si>
  <si>
    <t>_Ped_Ent_Vol_4</t>
  </si>
  <si>
    <t>_Ped_IVLijn_Opm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</si>
  <si>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</si>
  <si>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</si>
  <si>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</si>
  <si>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</si>
  <si>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</si>
  <si>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</si>
  <si>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</si>
  <si>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</si>
  <si>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</si>
  <si>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</si>
  <si>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</si>
  <si>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</si>
  <si>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</si>
  <si>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</si>
  <si>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</si>
  <si>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</si>
  <si>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</si>
  <si>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</si>
  <si>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</si>
  <si>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</si>
  <si>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</si>
  <si>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</si>
  <si>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</si>
  <si>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</si>
  <si>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</si>
  <si>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</si>
  <si>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</si>
  <si>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</si>
  <si>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</si>
  <si>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</si>
  <si>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</si>
  <si>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</si>
  <si>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</si>
  <si>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</si>
  <si>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</si>
  <si>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</si>
  <si>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</si>
  <si>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</si>
  <si>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</si>
  <si>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</si>
  <si>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</si>
  <si>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</si>
  <si>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</si>
  <si>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</si>
  <si>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</si>
  <si>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</si>
  <si>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</si>
  <si>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</si>
  <si>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</si>
  <si>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</si>
  <si>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</si>
  <si>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</si>
  <si>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</si>
  <si>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</si>
  <si>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</si>
  <si>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</si>
  <si>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</si>
  <si>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</si>
  <si>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</si>
  <si>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</si>
  <si>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</si>
  <si>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</si>
  <si>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</si>
  <si>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</si>
  <si>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</si>
  <si>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</si>
  <si>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</si>
  <si>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</si>
  <si>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</si>
  <si>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</si>
  <si>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</si>
  <si>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</si>
  <si>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</si>
  <si>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</si>
  <si>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</si>
  <si>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</si>
  <si>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</si>
  <si>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</si>
  <si>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</si>
  <si>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</si>
  <si>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</si>
  <si>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</si>
  <si>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</si>
  <si>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</si>
  <si>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</si>
  <si>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</si>
  <si>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</si>
  <si>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</si>
  <si>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</si>
  <si>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</si>
  <si>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</si>
  <si>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</si>
  <si>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</si>
  <si>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</si>
  <si>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</si>
  <si>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</si>
  <si>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</si>
  <si>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</si>
  <si>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</si>
  <si>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</si>
  <si>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</si>
  <si>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</si>
  <si>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</si>
  <si>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</si>
  <si>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</si>
  <si>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</si>
  <si>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</si>
  <si>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</si>
  <si>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</si>
  <si>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</si>
  <si>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</si>
  <si>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</si>
  <si>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</si>
  <si>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</si>
  <si>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</si>
  <si>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</si>
  <si>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</si>
  <si>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</si>
  <si>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</si>
  <si>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</si>
  <si>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</si>
  <si>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</si>
  <si>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</si>
  <si>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</si>
  <si>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</si>
  <si>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</si>
  <si>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</si>
  <si>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</si>
  <si>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</si>
  <si>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</si>
  <si>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</si>
  <si>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</si>
  <si>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</si>
  <si>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</si>
  <si>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</si>
  <si>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</si>
  <si>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</si>
  <si>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</si>
  <si>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</si>
  <si>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</si>
  <si>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</si>
  <si>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</si>
  <si>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</si>
  <si>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</si>
  <si>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</si>
  <si>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</si>
  <si>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</si>
  <si>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</si>
  <si>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</si>
  <si>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</si>
  <si>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</si>
  <si>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</si>
  <si>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</si>
  <si>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</si>
  <si>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</si>
  <si>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</si>
  <si>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</si>
  <si>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</si>
  <si>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</si>
  <si>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</si>
  <si>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</si>
  <si>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</si>
  <si>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</si>
  <si>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</si>
  <si>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</si>
  <si>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</si>
  <si>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</si>
  <si>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</si>
  <si>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</si>
  <si>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</si>
  <si>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</si>
  <si>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</si>
  <si>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</si>
  <si>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</si>
  <si>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</si>
  <si>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</si>
  <si>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</si>
  <si>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</si>
  <si>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</si>
  <si>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</si>
  <si>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</si>
  <si>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</si>
  <si>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</si>
  <si>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</si>
  <si>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</si>
  <si>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</si>
  <si>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</si>
  <si>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</si>
  <si>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</si>
  <si>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</si>
  <si>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</si>
  <si>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</si>
  <si>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</si>
  <si>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</si>
  <si>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</si>
  <si>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</si>
  <si>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</si>
  <si>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</si>
  <si>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</si>
  <si>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</si>
  <si>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</si>
  <si>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</si>
  <si>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</si>
  <si>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</si>
  <si>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</si>
  <si>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</si>
  <si>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</si>
  <si>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</si>
  <si>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</si>
  <si>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</si>
  <si>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</si>
  <si>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</si>
  <si>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</si>
  <si>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</si>
  <si>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</si>
  <si>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</si>
  <si>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</si>
  <si>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</si>
  <si>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</si>
  <si>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</si>
  <si>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</si>
  <si>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</si>
  <si>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</si>
  <si>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</si>
  <si>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</si>
  <si>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</si>
  <si>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</si>
  <si>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</si>
  <si>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</si>
  <si>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</si>
  <si>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</si>
  <si>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</si>
  <si>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</si>
  <si>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</si>
  <si>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</si>
  <si>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</si>
  <si>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</si>
  <si>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</si>
  <si>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</si>
  <si>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</si>
  <si>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</si>
  <si>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</si>
  <si>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</si>
  <si>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</si>
  <si>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</si>
  <si>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</si>
  <si>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</si>
  <si>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</si>
  <si>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</si>
  <si>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</si>
  <si>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</si>
  <si>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</si>
  <si>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</si>
  <si>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</si>
  <si>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</si>
  <si>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</si>
  <si>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</si>
  <si>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</si>
  <si>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</si>
  <si>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</si>
  <si>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</si>
  <si>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</si>
  <si>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</si>
  <si>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</si>
  <si>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</si>
  <si>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</si>
  <si>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</si>
  <si>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</si>
  <si>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</si>
  <si>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</si>
  <si>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tbl_Neo_MedIV</t>
  </si>
  <si>
    <t>F:=IF(NeoBerIV!B20&gt;1;INDEX(tbl_Neo_MedIV;NeoBerIV!B20; 1)&amp;" "&amp;NeoGuiAfspraken!C32&amp;" "&amp;NeoGuiAfspraken!D32&amp;" "&amp; INDEX(tbl_Neo_Opl;NeoBerIV!E20;1)&amp;" " &amp; NeoGuiAfspraken!G32&amp;" (="&amp;NeoGuiAfspraken!H32&amp;" "&amp;NeoGuiAfspraken!I32&amp;"), inlooptijd: "&amp;NeoGuiAfspraken!N32;"")</t>
  </si>
  <si>
    <t>F:=IF(NeoBer1700!B20&gt;1;INDEX(tbl_Neo_MedIV;NeoBer1700!B20; 1)&amp;" "&amp;NeoAfspr1700!C32&amp;" "&amp;NeoAfspr1700!D32&amp;" "&amp; INDEX(tbl_Neo_Opl;NeoBer1700!E20;1)&amp;" " &amp; NeoAfspr1700!G32&amp;" (="&amp;NeoAfspr1700!H32&amp;" "&amp;NeoAfspr1700!I32&amp;"), inlooptijd: "&amp;NeoAfspr1700!N32;"")</t>
  </si>
  <si>
    <t>F:=IF(NeoBer1700!B21&gt;1;INDEX(tbl_Neo_MedIV;NeoBer1700!B21; 1)&amp;" "&amp;NeoAfspr1700!C33&amp;" "&amp;NeoAfspr1700!D33&amp;" "&amp; INDEX(tbl_Neo_Opl;NeoBer1700!E21;1)&amp;" " &amp; NeoAfspr1700!G33&amp;" (="&amp;NeoAfspr1700!H33&amp;" "&amp;NeoAfspr1700!I33&amp;"), inlooptijd: "&amp;NeoAfspr1700!N33;"")</t>
  </si>
  <si>
    <t>F:=IF(NeoBer1700!B22&gt;1;INDEX(tbl_Neo_MedIV;NeoBer1700!B22; 1)&amp;" "&amp;NeoAfspr1700!C34&amp;" "&amp;NeoAfspr1700!D34&amp;" "&amp; INDEX(tbl_Neo_Opl;NeoBer1700!E22;1)&amp;" " &amp; NeoAfspr1700!G34&amp;" (="&amp;NeoAfspr1700!H34&amp;" "&amp;NeoAfspr1700!I34&amp;"), inlooptijd: "&amp;NeoAfspr1700!N34;"")</t>
  </si>
  <si>
    <t>F:=IF(NeoBer1700!B23&gt;1;INDEX(tbl_Neo_MedIV;NeoBer1700!B23; 1)&amp;" "&amp;NeoAfspr1700!C35&amp;" "&amp;NeoAfspr1700!D35&amp;" "&amp; INDEX(tbl_Neo_Opl;NeoBer1700!E23;1)&amp;" " &amp; NeoAfspr1700!G35&amp;" (="&amp;NeoAfspr1700!H35&amp;" "&amp;NeoAfspr1700!I35&amp;"), inlooptijd: "&amp;NeoAfspr1700!N35;"")</t>
  </si>
  <si>
    <t>F:=IF(NeoBer1700!B24&gt;1;INDEX(tbl_Neo_MedIV;NeoBer1700!B24; 1)&amp;" "&amp;NeoAfspr1700!C36&amp;" "&amp;NeoAfspr1700!D36&amp;" "&amp; INDEX(tbl_Neo_Opl;NeoBer1700!E24;1)&amp;" " &amp; NeoAfspr1700!G36&amp;" (="&amp;NeoAfspr1700!H36&amp;" "&amp;NeoAfspr1700!I36&amp;"), inlooptijd: "&amp;NeoAfspr1700!N36;"")</t>
  </si>
  <si>
    <t>F:=IF(NeoBer1700!B25&gt;1;INDEX(tbl_Neo_MedIV;NeoBer1700!B25; 1)&amp;" "&amp;NeoAfspr1700!C37&amp;" "&amp;NeoAfspr1700!D37&amp;" "&amp; INDEX(tbl_Neo_Opl;NeoBer1700!E25;1)&amp;" " &amp; NeoAfspr1700!G37&amp;" (="&amp;NeoAfspr1700!H37&amp;" "&amp;NeoAfspr1700!I37&amp;"), inlooptijd: "&amp;NeoAfspr1700!N37;"")</t>
  </si>
  <si>
    <t>F:=IF(NeoBer1700!B26&gt;1;INDEX(tbl_Neo_MedIV;NeoBer1700!B26; 1)&amp;" "&amp;NeoAfspr1700!C38&amp;" "&amp;NeoAfspr1700!D38&amp;" "&amp; INDEX(tbl_Neo_Opl;NeoBer1700!E26;1)&amp;" " &amp; NeoAfspr1700!G38&amp;" (="&amp;NeoAfspr1700!H38&amp;" "&amp;NeoAfspr1700!I38&amp;"), inlooptijd: "&amp;NeoAfspr1700!N38;"")</t>
  </si>
  <si>
    <t>F:=IF(NeoBer1700!B27&gt;1;INDEX(tbl_Neo_MedIV;NeoBer1700!B27; 1)&amp;" "&amp;NeoAfspr1700!C39&amp;" "&amp;NeoAfspr1700!D39&amp;" "&amp; INDEX(tbl_Neo_Opl;NeoBer1700!E27;1)&amp;" " &amp; NeoAfspr1700!G39&amp;" (="&amp;NeoAfspr1700!H39&amp;" "&amp;NeoAfspr1700!I39&amp;"), inlooptijd: "&amp;NeoAfspr1700!N39;"")</t>
  </si>
  <si>
    <t>F:=IF(NeoBer1700!B28&gt;1;INDEX(tbl_Neo_MedIV;NeoBer1700!B28; 1)&amp;" "&amp;NeoAfspr1700!C40&amp;" "&amp;NeoAfspr1700!D40&amp;" "&amp; INDEX(tbl_Neo_Opl;NeoBer1700!E28;1)&amp;" " &amp; NeoAfspr1700!G40&amp;" (="&amp;NeoAfspr1700!H40&amp;" "&amp;NeoAfspr1700!I40&amp;"), inlooptijd: "&amp;NeoAfspr1700!N40;"")</t>
  </si>
  <si>
    <t>F:=IF(NeoBerIV!B21&gt;1;INDEX(tbl_Neo_MedIV;NeoBerIV!B21; 1)&amp;" "&amp;NeoGuiAfspraken!C33&amp;" "&amp;NeoGuiAfspraken!D33&amp;" "&amp; INDEX(tbl_Neo_Opl;NeoBerIV!E21;1)&amp;" " &amp; NeoGuiAfspraken!G33&amp;" (="&amp;NeoGuiAfspraken!H33&amp;" "&amp;NeoGuiAfspraken!I33&amp;"), inlooptijd: "&amp;NeoGuiAfspraken!N33;"")</t>
  </si>
  <si>
    <t>F:=IF(NeoBerIV!B22&gt;1;INDEX(tbl_Neo_MedIV;NeoBerIV!B22; 1)&amp;" "&amp;NeoGuiAfspraken!C34&amp;" "&amp;NeoGuiAfspraken!D34&amp;" "&amp; INDEX(tbl_Neo_Opl;NeoBerIV!E22;1)&amp;" " &amp; NeoGuiAfspraken!G34&amp;" (="&amp;NeoGuiAfspraken!H34&amp;" "&amp;NeoGuiAfspraken!I34&amp;"), inlooptijd: "&amp;NeoGuiAfspraken!N34;"")</t>
  </si>
  <si>
    <t>F:=IF(NeoBerIV!B23&gt;1;INDEX(tbl_Neo_MedIV;NeoBerIV!B23; 1)&amp;" "&amp;NeoGuiAfspraken!C35&amp;" "&amp;NeoGuiAfspraken!D35&amp;" "&amp; INDEX(tbl_Neo_Opl;NeoBerIV!E23;1)&amp;" " &amp; NeoGuiAfspraken!G35&amp;" (="&amp;NeoGuiAfspraken!H35&amp;" "&amp;NeoGuiAfspraken!I35&amp;"), inlooptijd: "&amp;NeoGuiAfspraken!N35;"")</t>
  </si>
  <si>
    <t>F:=IF(NeoBerIV!B24&gt;1;INDEX(tbl_Neo_MedIV;NeoBerIV!B24; 1)&amp;" "&amp;NeoGuiAfspraken!C36&amp;" "&amp;NeoGuiAfspraken!D36&amp;" "&amp; INDEX(tbl_Neo_Opl;NeoBerIV!E24;1)&amp;" " &amp; NeoGuiAfspraken!G36&amp;" (="&amp;NeoGuiAfspraken!H36&amp;" "&amp;NeoGuiAfspraken!I36&amp;"), inlooptijd: "&amp;NeoGuiAfspraken!N36;"")</t>
  </si>
  <si>
    <t>F:=IF(NeoBerIV!B25&gt;1;INDEX(tbl_Neo_MedIV;NeoBerIV!B25; 1)&amp;" "&amp;NeoGuiAfspraken!C37&amp;" "&amp;NeoGuiAfspraken!D37&amp;" "&amp; INDEX(tbl_Neo_Opl;NeoBerIV!E25;1)&amp;" " &amp; NeoGuiAfspraken!G37&amp;" (="&amp;NeoGuiAfspraken!H37&amp;" "&amp;NeoGuiAfspraken!I37&amp;"), inlooptijd: "&amp;NeoGuiAfspraken!N37;"")</t>
  </si>
  <si>
    <t>F:=IF(NeoBerIV!B26&gt;1;INDEX(tbl_Neo_MedIV;NeoBerIV!B26; 1)&amp;" "&amp;NeoGuiAfspraken!C38&amp;" "&amp;NeoGuiAfspraken!D38&amp;" "&amp; INDEX(tbl_Neo_Opl;NeoBerIV!E26;1)&amp;" " &amp; NeoGuiAfspraken!G38&amp;" (="&amp;NeoGuiAfspraken!H38&amp;" "&amp;NeoGuiAfspraken!I38&amp;"), inlooptijd: "&amp;NeoGuiAfspraken!N38;"")</t>
  </si>
  <si>
    <t>F:=IF(NeoBerIV!B27&gt;1;INDEX(tbl_Neo_MedIV;NeoBerIV!B27; 1)&amp;" "&amp;NeoGuiAfspraken!C39&amp;" "&amp;NeoGuiAfspraken!D39&amp;" "&amp; INDEX(tbl_Neo_Opl;NeoBerIV!E27;1)&amp;" " &amp; NeoGuiAfspraken!G39&amp;" (="&amp;NeoGuiAfspraken!H39&amp;" "&amp;NeoGuiAfspraken!I39&amp;"), inlooptijd: "&amp;NeoGuiAfspraken!N39;"")</t>
  </si>
  <si>
    <t>F:=IF(NeoBerIV!B28&gt;1;INDEX(tbl_Neo_MedIV;NeoBerIV!B28; 1)&amp;" "&amp;NeoGuiAfspraken!C40&amp;" "&amp;NeoGuiAfspraken!D40&amp;" "&amp; INDEX(tbl_Neo_Opl;NeoBerIV!E28;1)&amp;" " &amp; NeoGuiAfspraken!G40&amp;" (="&amp;NeoGuiAfspraken!H40&amp;" "&amp;NeoGuiAfspraken!I40&amp;"), inlooptijd: "&amp;NeoGuiAfspraken!N40;"")</t>
  </si>
  <si>
    <t>F:=IF(AND(INDEX(tbl_Neo_LijstVoeding;_Neo_InfB_Voeding;14)="KV";_Neo_InfB_Toevoeging_5 &gt; 1;Var_Neo_Percentage_5 &gt; 0); CONCATENATE("Toev KV: ";INDEX(tbl_Neo_NutrKunstToev;_Neo_InfB_Toevoeging_5;1);" ";Var_Neo_Percentage_5;" %");"")</t>
  </si>
  <si>
    <t>F:=IF(AND(INDEX(tbl_Neo_LijstVoeding;_Neo_InfB_Voeding;14)="KV";_Neo_InfB_Toevoeging_6 &gt; 1;Var_Neo_Percentage_6 &gt; 0); CONCATENATE("Toev KV: ";INDEX(tbl_Neo_NutrKunstToev;_Neo_InfB_Toevoeging_6;1);" ";Var_Neo_Percentage_6;" %");"")</t>
  </si>
  <si>
    <t>F:=IF(AND(INDEX(tbl_Neo_LijstVoeding;_Neo_InfB_Voeding;14)="KV";_Neo_InfB_Toevoeging_7 &gt; 1;Var_Neo_Percentage_7 &gt; 0); CONCATENATE("Toev KV: ";INDEX(tbl_Neo_NutrKunstToev;_Neo_InfB_Toevoeging_7;1);" ";Var_Neo_Percentage_7;" %");"")</t>
  </si>
  <si>
    <t>F:=IF(AND(INDEX(tbl_Neo_LijstVoeding;_Neo_InfB_Voeding;14)="KV";_Neo_InfB_Toevoeging_8 &gt; 1;Var_Neo_Percentage_8 &gt; 0); CONCATENATE("Toev KV: ";INDEX(tbl_Neo_NutrKunstToev;_Neo_InfB_Toevoeging_8;1);" ";Var_Neo_Percentage_8;" %");"")</t>
  </si>
  <si>
    <t>F:=IF(AND(INDEX(tbl_Neo_LijstVoeding;_Neo_1700_Voeding;14)="KV";_Neo_1700_Toevoeging_5 &gt; 1;Var_Neo_Percentage1700_5 &gt; 0); CONCATENATE("Toev KV: ";INDEX(tbl_Neo_NutrKunstToev;_Neo_1700_Toevoeging_5;1);" ";Var_Neo_Percentage1700_5;" %");"")</t>
  </si>
  <si>
    <t>F:=IF(AND(INDEX(tbl_Neo_LijstVoeding;_Neo_1700_Voeding;14)="KV";_Neo_1700_Toevoeging_6 &gt; 1;Var_Neo_Percentage1700_6 &gt; 0); CONCATENATE("Toev KV: ";INDEX(tbl_Neo_NutrKunstToev;_Neo_1700_Toevoeging_6;1);" ";Var_Neo_Percentage1700_6;" %");"")</t>
  </si>
  <si>
    <t>F:=IF(AND(INDEX(tbl_Neo_LijstVoeding;_Neo_1700_Voeding;14)="KV";_Neo_1700_Toevoeging_7 &gt; 1;Var_Neo_Percentage1700_7 &gt; 0); CONCATENATE("Toev KV: ";INDEX(tbl_Neo_NutrKunstToev;_Neo_1700_Toevoeging_7;1);" ";Var_Neo_Percentage1700_7;" %");"")</t>
  </si>
  <si>
    <t>F:=IF(AND(INDEX(tbl_Neo_LijstVoeding;_Neo_1700_Voeding;14)="KV";_Neo_1700_Toevoeging_8 &gt; 1;Var_Neo_Percentage1700_8 &gt; 0); CONCATENATE("Toev KV: ";INDEX(tbl_Neo_NutrKunstToev;_Neo_1700_Toevoeging_8;1);" ";Var_Neo_Percentage1700_8;" %");"")</t>
  </si>
  <si>
    <t>F:=IF(AND(INDEX(tbl_Neo_LijstVoeding;_Neo_1700_Voeding;14)="MM";Var_Neo_Percentage1700_0 &gt; 0); CONCATENATE("Toev MM: BMF ";Var_Neo_Percentage1700_0;" %");"")</t>
  </si>
  <si>
    <t>F:=IF(AND(INDEX(tbl_Neo_LijstVoeding;_Neo_1700_Voeding;14)="MM";_Neo_1700_Toevoeging_1 &gt; 1;Var_Neo_Percentage1700_1 &gt; 0); CONCATENATE("Toev MM: ";INDEX(tbl_Neo_NutrMMToev;_Neo_1700_Toevoeging_1;1);" ";Var_Neo_Percentage1700_1;" %");"")</t>
  </si>
  <si>
    <t>F:=IF(AND(INDEX(tbl_Neo_LijstVoeding;_Neo_1700_Voeding;14)="MM";_Neo_1700_Toevoeging_2 &gt; 1;Var_Neo_Percentage1700_2 &gt; 0); CONCATENATE("Toev MM: ";INDEX(tbl_Neo_NutrMMToev;_Neo_1700_Toevoeging_2;1);" ";Var_Neo_Percentage1700_2;" %");"")</t>
  </si>
  <si>
    <t>F:=IF(AND(INDEX(tbl_Neo_LijstVoeding;_Neo_1700_Voeding;14)="MM";_Neo_1700_Toevoeging_3 &gt; 1;Var_Neo_Percentage1700_3 &gt; 0); CONCATENATE("Toev MM: ";INDEX(tbl_Neo_NutrMMToev;_Neo_1700_Toevoeging_3;1);" ";Var_Neo_Percentage1700_3;" %");"")</t>
  </si>
  <si>
    <t>F:=IF(AND(INDEX(tbl_Neo_LijstVoeding;_Neo_1700_Voeding;14)="MM";_Neo_1700_Toevoeging_4 &gt; 1;Var_Neo_Percentage1700_4 &gt; 0); CONCATENATE("Toev MM: ";INDEX(tbl_Neo_NutrMMToev;_Neo_1700_Toevoeging_4;1);" ";Var_Neo_Percentage1700_4;" %");"")</t>
  </si>
  <si>
    <t>F:=IF(AND(INDEX(tbl_Neo_LijstVoeding;_Neo_InfB_Voeding;14)="MM";Var_Neo_Percentage_0 &gt; 0); CONCATENATE("Toev MM: BMF ";Var_Neo_Percentage_0;" %");"")</t>
  </si>
  <si>
    <t>F:=IF(AND(INDEX(tbl_Neo_LijstVoeding;_Neo_InfB_Voeding;14)="MM";_Neo_InfB_Toevoeging_1 &gt; 1;Var_Neo_Percentage_1 &gt; 0); CONCATENATE("Toev MM: ";INDEX(tbl_Neo_NutrMMToev;_Neo_InfB_Toevoeging_1;1);" ";Var_Neo_Percentage_1;" %");"")</t>
  </si>
  <si>
    <t>F:=IF(AND(INDEX(tbl_Neo_LijstVoeding;_Neo_InfB_Voeding;14)="MM";_Neo_InfB_Toevoeging_2 &gt; 1;Var_Neo_Percentage_2 &gt; 0); CONCATENATE("Toev MM: ";INDEX(tbl_Neo_NutrMMToev;_Neo_InfB_Toevoeging_2;1);" ";Var_Neo_Percentage_2;" %");"")</t>
  </si>
  <si>
    <t>F:=IF(AND(INDEX(tbl_Neo_LijstVoeding;_Neo_InfB_Voeding;14)="MM";_Neo_InfB_Toevoeging_3 &gt; 1;Var_Neo_Percentage_3 &gt; 0); CONCATENATE("Toev MM: ";INDEX(tbl_Neo_NutrMMToev;_Neo_InfB_Toevoeging_3;1);" ";Var_Neo_Percentage_3;" %");"")</t>
  </si>
  <si>
    <t>F:=IF(AND(INDEX(tbl_Neo_LijstVoeding;_Neo_InfB_Voeding;14)="MM";_Neo_InfB_Toevoeging_4 &gt; 1;Var_Neo_Percentage_4 &gt; 0); CONCATENATE("Toev MM: ";INDEX(tbl_Neo_NutrMMToev;_Neo_InfB_Toevoeging_4;1);" ";Var_Neo_Percentage_4;" %");"")</t>
  </si>
  <si>
    <t>F:=IF(NeoBerIV!$K$39&gt;0;IF(_Neo_1700_DagKeuze=1;NeoBerIV!$C$39-M10;0);"")</t>
  </si>
  <si>
    <t>F:=IF(NeoBerIV!$K$38&gt;0;IF(_Neo_1700_DagKeuze&lt;&gt;2;(NeoBerIV!$C$38-M9)*100;0);"")</t>
  </si>
  <si>
    <t>F:=IF(NeoBerIV!$K$38&gt;0;IF(_Neo_1700_DagKeuze&lt;&gt;2;TRUNC(NeoBerIV!$C$38);0);"")</t>
  </si>
  <si>
    <t>F:=IF(NeoBerIV!$K$40&gt;0;IF(_Neo_1700_DagKeuze=1;(NeoBerIV!$C$40-M11)*100;0);"")</t>
  </si>
  <si>
    <t>F:=IF(NeoBerIV!$K$37&gt;0;IF(_Neo_1700_DagKeuze&lt;&gt;2;(NeoBerIV!$C$37-M8)*100;0);"")</t>
  </si>
  <si>
    <t>F:=IF(NeoBerIV!$K$37&gt;0;IF(_Neo_InfB_DagKeuze&lt;&gt;2;TRUNC(NeoBerIV!$C$37);0);"")</t>
  </si>
  <si>
    <t>F:=IF(_Neo_InfB_DagKeuze=2;(NeoBerIV!$C$43-M14)*100;"")</t>
  </si>
  <si>
    <t>F:=IF(_Neo_InfB_DagKeuze=2;TRUNC(NeoBerIV!$C$43);"")</t>
  </si>
  <si>
    <t>F:=IF(NeoBerIV!$K$42&gt;0;IF(_Neo_1700_DagKeuze&lt;&gt;1;(NeoBerIV!$C$42-M13)*100;0);"")</t>
  </si>
  <si>
    <t>F:=IF(_Neo_InfB_DagKeuze=3;(NeoBerIV!$C$44-M15)*100;"")</t>
  </si>
  <si>
    <t>F:=IF(_Neo_InfB_DagKeuze=3;TRUNC(NeoBerIV!$C$44);"")</t>
  </si>
  <si>
    <t>F:=IF(NeoBerIV!$K$41&gt;0;IF(_Neo_1700_DagKeuze=1;(NeoBerIV!$C$41-M12)*100;0);"")</t>
  </si>
  <si>
    <t>F:=IF(NeoBer1700!$K$39&gt;0;IF(_Neo_1700_DagKeuze=1;NeoBer1700!$C$39-M10;0);"")</t>
  </si>
  <si>
    <t>F:=IF(NeoBer1700!$K$38&gt;0;IF(_Neo_1700_DagKeuze&lt;&gt;2;(NeoBer1700!$C$38-M9)*100;0);"")</t>
  </si>
  <si>
    <t>F:=IF(NeoBer1700!$K$38&gt;0;IF(_Neo_1700_DagKeuze&lt;&gt;2;TRUNC(NeoBer1700!$C$38);0);"")</t>
  </si>
  <si>
    <t>F:=IF(NeoBer1700!$K$40&gt;0;IF(_Neo_1700_DagKeuze=1;(NeoBer1700!$C$40-M11)*100;0);"")</t>
  </si>
  <si>
    <t>F:=IF(NeoBer1700!$K$37&gt;0;IF(_Neo_1700_DagKeuze&lt;&gt;2;(NeoBer1700!$C$37-M8)*100;0);"")</t>
  </si>
  <si>
    <t>F:=IF(NeoBer1700!$K$37&gt;0;IF(_Neo_InfB_DagKeuze&lt;&gt;2;TRUNC(NeoBer1700!$C$37);0);"")</t>
  </si>
  <si>
    <t>F:=IF(_Neo_InfB_DagKeuze=2;(NeoBer1700!$C$43-M14)*100;"")</t>
  </si>
  <si>
    <t>F:=IF(_Neo_InfB_DagKeuze=2;TRUNC(NeoBer1700!$C$43);"")</t>
  </si>
  <si>
    <t>F:=IF(NeoBer1700!$K$42&gt;0;IF(_Neo_1700_DagKeuze&lt;&gt;1;(NeoBer1700!$C$42-M13)*100;0);"")</t>
  </si>
  <si>
    <t>F:=IF(_Neo_InfB_DagKeuze=3;(NeoBer1700!$C$44-M15)*100;"")</t>
  </si>
  <si>
    <t>F:=IF(_Neo_InfB_DagKeuze=3;TRUNC(NeoBer1700!$C$44);"")</t>
  </si>
  <si>
    <t>F:=IF(NeoBer1700!$K$41&gt;0;IF(_Neo_1700_DagKeuze=1;(NeoBer1700!$C$41-M12)*100;0);"")</t>
  </si>
  <si>
    <t>PatData!$A$1:$P$576</t>
  </si>
  <si>
    <t>PatData!$A$1:$B$712</t>
  </si>
  <si>
    <t>_Pat_OpnDatum</t>
  </si>
  <si>
    <t>_Pat_Dagen</t>
  </si>
  <si>
    <t>_Pat_Weken</t>
  </si>
  <si>
    <t xml:space="preserve">Patient: , </t>
  </si>
  <si>
    <t xml:space="preserve">Naam: , </t>
  </si>
  <si>
    <t>_Pat_Gewicht</t>
  </si>
  <si>
    <t>_Pat_Lengte</t>
  </si>
  <si>
    <t>F:=_Pat_Gewicht/10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</si>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</sst>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8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sz val="9"/>
      <color rgb="FF000000"/>
      <name val="Arial"/>
      <family val="2"/>
    </font>
    <font>
      <b/>
      <sz val="20"/>
      <color rgb="FFFF0000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9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</borders>
  <cellStyleXfs count="208">
    <xf numFmtId="0" fontId="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38" fillId="3" borderId="0" applyNumberFormat="0" applyBorder="0" applyAlignment="0" applyProtection="0"/>
    <xf numFmtId="0" fontId="39" fillId="20" borderId="1" applyNumberFormat="0" applyAlignment="0" applyProtection="0"/>
    <xf numFmtId="0" fontId="40" fillId="21" borderId="2" applyNumberFormat="0" applyAlignment="0" applyProtection="0"/>
    <xf numFmtId="0" fontId="41" fillId="0" borderId="0" applyNumberFormat="0" applyFill="0" applyBorder="0" applyAlignment="0" applyProtection="0"/>
    <xf numFmtId="0" fontId="42" fillId="4" borderId="0" applyNumberFormat="0" applyBorder="0" applyAlignment="0" applyProtection="0"/>
    <xf numFmtId="0" fontId="43" fillId="0" borderId="3" applyNumberFormat="0" applyFill="0" applyAlignment="0" applyProtection="0"/>
    <xf numFmtId="0" fontId="44" fillId="0" borderId="4" applyNumberFormat="0" applyFill="0" applyAlignment="0" applyProtection="0"/>
    <xf numFmtId="0" fontId="45" fillId="0" borderId="5" applyNumberFormat="0" applyFill="0" applyAlignment="0" applyProtection="0"/>
    <xf numFmtId="0" fontId="45" fillId="0" borderId="0" applyNumberFormat="0" applyFill="0" applyBorder="0" applyAlignment="0" applyProtection="0"/>
    <xf numFmtId="0" fontId="46" fillId="7" borderId="1" applyNumberFormat="0" applyAlignment="0" applyProtection="0"/>
    <xf numFmtId="0" fontId="47" fillId="0" borderId="6" applyNumberFormat="0" applyFill="0" applyAlignment="0" applyProtection="0"/>
    <xf numFmtId="0" fontId="48" fillId="22" borderId="0" applyNumberFormat="0" applyBorder="0" applyAlignment="0" applyProtection="0"/>
    <xf numFmtId="0" fontId="10" fillId="23" borderId="7" applyNumberFormat="0" applyFont="0" applyAlignment="0" applyProtection="0"/>
    <xf numFmtId="0" fontId="49" fillId="20" borderId="8" applyNumberFormat="0" applyAlignment="0" applyProtection="0"/>
    <xf numFmtId="0" fontId="50" fillId="0" borderId="0" applyNumberFormat="0" applyFill="0" applyBorder="0" applyAlignment="0" applyProtection="0"/>
    <xf numFmtId="0" fontId="51" fillId="0" borderId="9" applyNumberFormat="0" applyFill="0" applyAlignment="0" applyProtection="0"/>
    <xf numFmtId="0" fontId="52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57">
    <xf numFmtId="0" fontId="0" fillId="0" borderId="0" xfId="0"/>
    <xf numFmtId="0" fontId="0" fillId="0" borderId="0" xfId="0" applyAlignment="1">
      <alignment horizontal="left"/>
    </xf>
    <xf numFmtId="0" fontId="11" fillId="24" borderId="0" xfId="0" applyFont="1" applyFill="1"/>
    <xf numFmtId="0" fontId="13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/>
    <xf numFmtId="0" fontId="13" fillId="0" borderId="10" xfId="0" applyFont="1" applyBorder="1"/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left"/>
    </xf>
    <xf numFmtId="0" fontId="24" fillId="0" borderId="7" xfId="0" quotePrefix="1" applyNumberFormat="1" applyFont="1" applyBorder="1"/>
    <xf numFmtId="0" fontId="21" fillId="0" borderId="7" xfId="0" applyFont="1" applyBorder="1"/>
    <xf numFmtId="0" fontId="21" fillId="0" borderId="0" xfId="0" applyFont="1"/>
    <xf numFmtId="0" fontId="0" fillId="0" borderId="7" xfId="0" applyBorder="1"/>
    <xf numFmtId="0" fontId="11" fillId="24" borderId="0" xfId="0" applyFont="1" applyFill="1" applyProtection="1"/>
    <xf numFmtId="0" fontId="17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0" fontId="21" fillId="0" borderId="7" xfId="0" quotePrefix="1" applyNumberFormat="1" applyFont="1" applyBorder="1"/>
    <xf numFmtId="0" fontId="21" fillId="0" borderId="0" xfId="0" quotePrefix="1" applyNumberFormat="1" applyFont="1" applyBorder="1"/>
    <xf numFmtId="0" fontId="21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3" fillId="0" borderId="0" xfId="0" applyFont="1" applyFill="1" applyBorder="1" applyProtection="1"/>
    <xf numFmtId="0" fontId="22" fillId="0" borderId="23" xfId="0" applyFont="1" applyFill="1" applyBorder="1" applyProtection="1"/>
    <xf numFmtId="0" fontId="22" fillId="25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2" fillId="0" borderId="14" xfId="0" applyFont="1" applyBorder="1" applyAlignment="1">
      <alignment horizontal="center" vertical="top" wrapText="1"/>
    </xf>
    <xf numFmtId="0" fontId="22" fillId="0" borderId="0" xfId="0" applyFont="1" applyFill="1" applyBorder="1" applyAlignment="1"/>
    <xf numFmtId="0" fontId="27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7" fillId="0" borderId="22" xfId="0" applyFont="1" applyBorder="1" applyAlignment="1">
      <alignment vertical="top" wrapText="1"/>
    </xf>
    <xf numFmtId="0" fontId="22" fillId="0" borderId="0" xfId="0" applyFont="1" applyFill="1" applyBorder="1" applyAlignment="1">
      <alignment horizontal="left"/>
    </xf>
    <xf numFmtId="0" fontId="27" fillId="0" borderId="10" xfId="0" applyFont="1" applyBorder="1" applyAlignment="1">
      <alignment vertical="center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7" fillId="0" borderId="16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15" xfId="0" applyFont="1" applyBorder="1" applyAlignment="1">
      <alignment vertical="center" wrapText="1"/>
    </xf>
    <xf numFmtId="0" fontId="27" fillId="0" borderId="10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8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2" fillId="0" borderId="23" xfId="0" applyFont="1" applyBorder="1" applyAlignment="1">
      <alignment horizontal="center" vertical="center" wrapText="1"/>
    </xf>
    <xf numFmtId="0" fontId="27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6" borderId="7" xfId="0" applyFont="1" applyFill="1" applyBorder="1" applyAlignment="1">
      <alignment wrapText="1"/>
    </xf>
    <xf numFmtId="0" fontId="19" fillId="26" borderId="32" xfId="0" applyFont="1" applyFill="1" applyBorder="1"/>
    <xf numFmtId="0" fontId="19" fillId="26" borderId="33" xfId="0" applyFont="1" applyFill="1" applyBorder="1"/>
    <xf numFmtId="0" fontId="19" fillId="26" borderId="34" xfId="0" applyFont="1" applyFill="1" applyBorder="1"/>
    <xf numFmtId="0" fontId="24" fillId="26" borderId="7" xfId="0" quotePrefix="1" applyNumberFormat="1" applyFont="1" applyFill="1" applyBorder="1"/>
    <xf numFmtId="0" fontId="24" fillId="26" borderId="35" xfId="0" quotePrefix="1" applyNumberFormat="1" applyFont="1" applyFill="1" applyBorder="1"/>
    <xf numFmtId="0" fontId="0" fillId="26" borderId="7" xfId="0" applyFill="1" applyBorder="1"/>
    <xf numFmtId="0" fontId="21" fillId="26" borderId="7" xfId="0" applyFont="1" applyFill="1" applyBorder="1"/>
    <xf numFmtId="16" fontId="21" fillId="26" borderId="7" xfId="0" applyNumberFormat="1" applyFont="1" applyFill="1" applyBorder="1" applyAlignment="1">
      <alignment horizontal="center" vertical="center" wrapText="1"/>
    </xf>
    <xf numFmtId="0" fontId="14" fillId="26" borderId="0" xfId="0" applyFont="1" applyFill="1"/>
    <xf numFmtId="0" fontId="14" fillId="26" borderId="0" xfId="0" applyFont="1" applyFill="1" applyBorder="1" applyAlignment="1">
      <alignment horizontal="left"/>
    </xf>
    <xf numFmtId="15" fontId="20" fillId="26" borderId="0" xfId="0" applyNumberFormat="1" applyFont="1" applyFill="1" applyBorder="1" applyAlignment="1">
      <alignment horizontal="left"/>
    </xf>
    <xf numFmtId="0" fontId="14" fillId="26" borderId="0" xfId="0" applyFont="1" applyFill="1" applyBorder="1" applyAlignment="1"/>
    <xf numFmtId="15" fontId="20" fillId="26" borderId="0" xfId="0" applyNumberFormat="1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>
      <alignment horizontal="left"/>
    </xf>
    <xf numFmtId="0" fontId="14" fillId="26" borderId="0" xfId="0" applyFont="1" applyFill="1" applyBorder="1"/>
    <xf numFmtId="1" fontId="20" fillId="26" borderId="0" xfId="0" applyNumberFormat="1" applyFont="1" applyFill="1" applyBorder="1" applyAlignment="1">
      <alignment horizontal="left"/>
    </xf>
    <xf numFmtId="0" fontId="14" fillId="27" borderId="0" xfId="0" applyFont="1" applyFill="1"/>
    <xf numFmtId="0" fontId="14" fillId="27" borderId="0" xfId="0" applyFont="1" applyFill="1" applyBorder="1"/>
    <xf numFmtId="0" fontId="14" fillId="27" borderId="0" xfId="0" applyFont="1" applyFill="1" applyAlignment="1">
      <alignment horizontal="left"/>
    </xf>
    <xf numFmtId="14" fontId="30" fillId="27" borderId="0" xfId="0" applyNumberFormat="1" applyFont="1" applyFill="1" applyAlignment="1">
      <alignment horizontal="left" vertical="center"/>
    </xf>
    <xf numFmtId="0" fontId="20" fillId="27" borderId="0" xfId="0" applyFont="1" applyFill="1" applyAlignment="1">
      <alignment horizontal="left"/>
    </xf>
    <xf numFmtId="0" fontId="20" fillId="27" borderId="0" xfId="0" applyNumberFormat="1" applyFont="1" applyFill="1"/>
    <xf numFmtId="0" fontId="20" fillId="27" borderId="0" xfId="0" applyFont="1" applyFill="1" applyAlignment="1">
      <alignment horizontal="center"/>
    </xf>
    <xf numFmtId="0" fontId="20" fillId="27" borderId="0" xfId="0" applyFont="1" applyFill="1"/>
    <xf numFmtId="0" fontId="14" fillId="27" borderId="36" xfId="0" applyFont="1" applyFill="1" applyBorder="1" applyAlignment="1">
      <alignment horizontal="left"/>
    </xf>
    <xf numFmtId="0" fontId="14" fillId="27" borderId="36" xfId="0" applyFont="1" applyFill="1" applyBorder="1"/>
    <xf numFmtId="0" fontId="14" fillId="27" borderId="36" xfId="0" applyFont="1" applyFill="1" applyBorder="1" applyAlignment="1"/>
    <xf numFmtId="0" fontId="14" fillId="27" borderId="36" xfId="0" applyNumberFormat="1" applyFont="1" applyFill="1" applyBorder="1"/>
    <xf numFmtId="0" fontId="14" fillId="27" borderId="0" xfId="0" applyFont="1" applyFill="1" applyAlignment="1">
      <alignment wrapText="1"/>
    </xf>
    <xf numFmtId="14" fontId="14" fillId="27" borderId="0" xfId="0" applyNumberFormat="1" applyFont="1" applyFill="1" applyAlignment="1">
      <alignment horizontal="left"/>
    </xf>
    <xf numFmtId="0" fontId="11" fillId="0" borderId="0" xfId="0" applyFont="1" applyFill="1" applyProtection="1"/>
    <xf numFmtId="0" fontId="22" fillId="26" borderId="0" xfId="0" applyFont="1" applyFill="1" applyProtection="1"/>
    <xf numFmtId="0" fontId="22" fillId="26" borderId="0" xfId="0" applyFont="1" applyFill="1"/>
    <xf numFmtId="0" fontId="22" fillId="26" borderId="0" xfId="0" applyFont="1" applyFill="1" applyBorder="1" applyAlignment="1">
      <alignment horizontal="left"/>
    </xf>
    <xf numFmtId="15" fontId="13" fillId="26" borderId="0" xfId="0" applyNumberFormat="1" applyFont="1" applyFill="1" applyBorder="1" applyAlignment="1">
      <alignment horizontal="left"/>
    </xf>
    <xf numFmtId="0" fontId="22" fillId="26" borderId="0" xfId="0" applyFont="1" applyFill="1" applyBorder="1" applyAlignment="1"/>
    <xf numFmtId="15" fontId="13" fillId="26" borderId="0" xfId="0" applyNumberFormat="1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>
      <alignment horizontal="left"/>
    </xf>
    <xf numFmtId="0" fontId="22" fillId="26" borderId="0" xfId="0" applyFont="1" applyFill="1" applyBorder="1" applyProtection="1"/>
    <xf numFmtId="1" fontId="13" fillId="26" borderId="0" xfId="0" applyNumberFormat="1" applyFont="1" applyFill="1" applyBorder="1" applyAlignment="1">
      <alignment horizontal="left"/>
    </xf>
    <xf numFmtId="0" fontId="12" fillId="0" borderId="0" xfId="0" applyFont="1" applyFill="1" applyBorder="1" applyProtection="1"/>
    <xf numFmtId="0" fontId="18" fillId="0" borderId="0" xfId="0" applyFont="1" applyFill="1" applyBorder="1" applyProtection="1"/>
    <xf numFmtId="0" fontId="2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13" fillId="0" borderId="0" xfId="0" applyNumberFormat="1" applyFont="1" applyFill="1" applyBorder="1" applyAlignment="1">
      <alignment horizontal="left"/>
    </xf>
    <xf numFmtId="0" fontId="13" fillId="0" borderId="0" xfId="0" applyFont="1" applyFill="1" applyBorder="1" applyAlignment="1" applyProtection="1">
      <alignment horizontal="center"/>
    </xf>
    <xf numFmtId="0" fontId="22" fillId="0" borderId="0" xfId="0" applyFont="1" applyFill="1" applyAlignment="1"/>
    <xf numFmtId="0" fontId="13" fillId="0" borderId="36" xfId="0" applyFont="1" applyFill="1" applyBorder="1" applyProtection="1"/>
    <xf numFmtId="0" fontId="22" fillId="0" borderId="36" xfId="0" applyFont="1" applyFill="1" applyBorder="1" applyProtection="1"/>
    <xf numFmtId="0" fontId="13" fillId="0" borderId="37" xfId="0" applyFont="1" applyFill="1" applyBorder="1" applyProtection="1"/>
    <xf numFmtId="0" fontId="22" fillId="0" borderId="37" xfId="0" applyFont="1" applyFill="1" applyBorder="1" applyProtection="1"/>
    <xf numFmtId="0" fontId="13" fillId="0" borderId="36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Protection="1"/>
    <xf numFmtId="0" fontId="22" fillId="0" borderId="38" xfId="0" applyFont="1" applyFill="1" applyBorder="1" applyProtection="1"/>
    <xf numFmtId="0" fontId="13" fillId="0" borderId="37" xfId="0" applyFont="1" applyFill="1" applyBorder="1" applyAlignment="1" applyProtection="1">
      <alignment horizontal="center"/>
      <protection locked="0"/>
    </xf>
    <xf numFmtId="0" fontId="18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Protection="1"/>
    <xf numFmtId="0" fontId="16" fillId="27" borderId="0" xfId="0" applyFont="1" applyFill="1" applyProtection="1"/>
    <xf numFmtId="0" fontId="13" fillId="0" borderId="36" xfId="0" applyFont="1" applyFill="1" applyBorder="1" applyAlignment="1" applyProtection="1">
      <alignment horizontal="left"/>
    </xf>
    <xf numFmtId="0" fontId="18" fillId="25" borderId="0" xfId="0" applyFont="1" applyFill="1" applyBorder="1" applyProtection="1"/>
    <xf numFmtId="0" fontId="22" fillId="26" borderId="0" xfId="0" applyFont="1" applyFill="1" applyBorder="1"/>
    <xf numFmtId="0" fontId="16" fillId="28" borderId="0" xfId="0" applyFont="1" applyFill="1" applyBorder="1" applyProtection="1"/>
    <xf numFmtId="0" fontId="18" fillId="28" borderId="0" xfId="0" applyFont="1" applyFill="1" applyBorder="1" applyProtection="1"/>
    <xf numFmtId="0" fontId="16" fillId="28" borderId="0" xfId="0" applyFont="1" applyFill="1" applyProtection="1"/>
    <xf numFmtId="0" fontId="32" fillId="0" borderId="36" xfId="0" applyFont="1" applyFill="1" applyBorder="1" applyProtection="1"/>
    <xf numFmtId="0" fontId="32" fillId="0" borderId="37" xfId="0" applyFont="1" applyFill="1" applyBorder="1" applyProtection="1"/>
    <xf numFmtId="0" fontId="32" fillId="0" borderId="0" xfId="0" applyFont="1" applyFill="1" applyBorder="1" applyProtection="1"/>
    <xf numFmtId="166" fontId="22" fillId="26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6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 wrapText="1"/>
    </xf>
    <xf numFmtId="0" fontId="33" fillId="26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4" fillId="26" borderId="0" xfId="0" applyFont="1" applyFill="1" applyBorder="1" applyProtection="1"/>
    <xf numFmtId="0" fontId="31" fillId="26" borderId="0" xfId="0" applyFont="1" applyFill="1" applyBorder="1" applyProtection="1"/>
    <xf numFmtId="0" fontId="18" fillId="25" borderId="39" xfId="0" applyFont="1" applyFill="1" applyBorder="1" applyProtection="1"/>
    <xf numFmtId="0" fontId="13" fillId="0" borderId="39" xfId="0" applyFont="1" applyFill="1" applyBorder="1" applyProtection="1"/>
    <xf numFmtId="0" fontId="22" fillId="0" borderId="39" xfId="0" applyFont="1" applyFill="1" applyBorder="1" applyProtection="1"/>
    <xf numFmtId="0" fontId="18" fillId="25" borderId="40" xfId="0" applyFont="1" applyFill="1" applyBorder="1" applyProtection="1"/>
    <xf numFmtId="0" fontId="13" fillId="0" borderId="40" xfId="0" applyFont="1" applyFill="1" applyBorder="1" applyProtection="1"/>
    <xf numFmtId="0" fontId="22" fillId="0" borderId="40" xfId="0" applyFont="1" applyFill="1" applyBorder="1" applyProtection="1"/>
    <xf numFmtId="0" fontId="22" fillId="25" borderId="40" xfId="0" applyFont="1" applyFill="1" applyBorder="1" applyProtection="1"/>
    <xf numFmtId="0" fontId="14" fillId="0" borderId="0" xfId="0" applyFont="1" applyFill="1" applyProtection="1"/>
    <xf numFmtId="0" fontId="20" fillId="0" borderId="0" xfId="0" applyFont="1" applyFill="1" applyProtection="1"/>
    <xf numFmtId="0" fontId="14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2" fillId="26" borderId="0" xfId="0" applyNumberFormat="1" applyFont="1" applyFill="1" applyBorder="1" applyAlignment="1" applyProtection="1">
      <alignment horizontal="left"/>
    </xf>
    <xf numFmtId="0" fontId="22" fillId="26" borderId="0" xfId="0" applyFont="1" applyFill="1" applyBorder="1" applyAlignment="1">
      <alignment horizontal="right"/>
    </xf>
    <xf numFmtId="0" fontId="22" fillId="26" borderId="41" xfId="0" applyFont="1" applyFill="1" applyBorder="1" applyAlignment="1">
      <alignment horizontal="right"/>
    </xf>
    <xf numFmtId="0" fontId="22" fillId="0" borderId="0" xfId="0" applyFont="1" applyFill="1" applyBorder="1" applyAlignment="1">
      <alignment horizontal="right"/>
    </xf>
    <xf numFmtId="0" fontId="13" fillId="0" borderId="0" xfId="0" applyFont="1" applyFill="1" applyBorder="1"/>
    <xf numFmtId="0" fontId="22" fillId="0" borderId="0" xfId="0" applyFont="1" applyFill="1" applyAlignment="1">
      <alignment horizontal="right"/>
    </xf>
    <xf numFmtId="0" fontId="22" fillId="0" borderId="42" xfId="0" applyFont="1" applyFill="1" applyBorder="1"/>
    <xf numFmtId="0" fontId="22" fillId="0" borderId="43" xfId="0" applyFont="1" applyFill="1" applyBorder="1"/>
    <xf numFmtId="49" fontId="22" fillId="0" borderId="0" xfId="0" applyNumberFormat="1" applyFont="1" applyFill="1" applyBorder="1" applyAlignment="1">
      <alignment horizontal="left" vertical="top" wrapText="1"/>
    </xf>
    <xf numFmtId="0" fontId="13" fillId="0" borderId="0" xfId="0" applyFont="1" applyFill="1" applyAlignment="1">
      <alignment horizontal="center"/>
    </xf>
    <xf numFmtId="0" fontId="18" fillId="0" borderId="0" xfId="0" applyFont="1" applyFill="1"/>
    <xf numFmtId="0" fontId="34" fillId="0" borderId="0" xfId="0" applyFont="1" applyFill="1" applyBorder="1"/>
    <xf numFmtId="0" fontId="22" fillId="0" borderId="42" xfId="0" applyFont="1" applyFill="1" applyBorder="1" applyAlignment="1">
      <alignment horizontal="center"/>
    </xf>
    <xf numFmtId="0" fontId="22" fillId="0" borderId="42" xfId="0" applyFont="1" applyFill="1" applyBorder="1" applyAlignment="1">
      <alignment horizontal="left"/>
    </xf>
    <xf numFmtId="0" fontId="13" fillId="0" borderId="42" xfId="0" applyFont="1" applyFill="1" applyBorder="1"/>
    <xf numFmtId="0" fontId="13" fillId="0" borderId="44" xfId="0" applyFont="1" applyFill="1" applyBorder="1"/>
    <xf numFmtId="0" fontId="22" fillId="0" borderId="44" xfId="0" applyFont="1" applyFill="1" applyBorder="1"/>
    <xf numFmtId="0" fontId="13" fillId="0" borderId="45" xfId="0" applyFont="1" applyFill="1" applyBorder="1"/>
    <xf numFmtId="0" fontId="22" fillId="0" borderId="0" xfId="0" applyFont="1" applyFill="1" applyBorder="1" applyProtection="1">
      <protection locked="0" hidden="1"/>
    </xf>
    <xf numFmtId="0" fontId="22" fillId="0" borderId="45" xfId="0" applyFont="1" applyFill="1" applyBorder="1" applyProtection="1">
      <protection locked="0" hidden="1"/>
    </xf>
    <xf numFmtId="0" fontId="22" fillId="0" borderId="46" xfId="0" applyFont="1" applyFill="1" applyBorder="1"/>
    <xf numFmtId="0" fontId="22" fillId="0" borderId="45" xfId="0" applyFont="1" applyFill="1" applyBorder="1"/>
    <xf numFmtId="0" fontId="22" fillId="0" borderId="47" xfId="0" applyFont="1" applyFill="1" applyBorder="1"/>
    <xf numFmtId="0" fontId="18" fillId="0" borderId="0" xfId="0" applyFont="1" applyFill="1" applyBorder="1"/>
    <xf numFmtId="0" fontId="22" fillId="26" borderId="42" xfId="0" applyFont="1" applyFill="1" applyBorder="1"/>
    <xf numFmtId="0" fontId="22" fillId="26" borderId="44" xfId="0" applyFont="1" applyFill="1" applyBorder="1"/>
    <xf numFmtId="0" fontId="22" fillId="26" borderId="0" xfId="0" applyFont="1" applyFill="1" applyBorder="1" applyAlignment="1">
      <alignment horizontal="center"/>
    </xf>
    <xf numFmtId="0" fontId="22" fillId="26" borderId="0" xfId="0" applyFont="1" applyFill="1" applyAlignment="1" applyProtection="1">
      <alignment horizontal="right"/>
      <protection locked="0" hidden="1"/>
    </xf>
    <xf numFmtId="0" fontId="22" fillId="26" borderId="0" xfId="0" applyFont="1" applyFill="1" applyProtection="1">
      <protection locked="0" hidden="1"/>
    </xf>
    <xf numFmtId="0" fontId="22" fillId="26" borderId="0" xfId="0" applyFont="1" applyFill="1" applyAlignment="1">
      <alignment horizontal="right"/>
    </xf>
    <xf numFmtId="0" fontId="16" fillId="28" borderId="0" xfId="0" applyFont="1" applyFill="1" applyBorder="1"/>
    <xf numFmtId="0" fontId="18" fillId="28" borderId="0" xfId="0" applyFont="1" applyFill="1" applyBorder="1"/>
    <xf numFmtId="0" fontId="22" fillId="26" borderId="41" xfId="0" applyFont="1" applyFill="1" applyBorder="1"/>
    <xf numFmtId="0" fontId="22" fillId="0" borderId="41" xfId="0" applyFont="1" applyFill="1" applyBorder="1" applyAlignment="1">
      <alignment horizontal="left"/>
    </xf>
    <xf numFmtId="0" fontId="22" fillId="0" borderId="41" xfId="0" applyFont="1" applyFill="1" applyBorder="1"/>
    <xf numFmtId="0" fontId="22" fillId="0" borderId="41" xfId="0" applyFont="1" applyFill="1" applyBorder="1" applyProtection="1">
      <protection locked="0" hidden="1"/>
    </xf>
    <xf numFmtId="0" fontId="13" fillId="26" borderId="0" xfId="0" applyFont="1" applyFill="1" applyBorder="1"/>
    <xf numFmtId="0" fontId="12" fillId="0" borderId="38" xfId="0" applyFont="1" applyFill="1" applyBorder="1" applyProtection="1"/>
    <xf numFmtId="0" fontId="12" fillId="0" borderId="37" xfId="0" applyFont="1" applyFill="1" applyBorder="1" applyProtection="1"/>
    <xf numFmtId="0" fontId="22" fillId="28" borderId="0" xfId="0" applyFont="1" applyFill="1" applyBorder="1"/>
    <xf numFmtId="0" fontId="22" fillId="28" borderId="0" xfId="0" applyFont="1" applyFill="1"/>
    <xf numFmtId="0" fontId="26" fillId="0" borderId="33" xfId="0" applyFont="1" applyBorder="1" applyAlignment="1">
      <alignment vertical="top" wrapText="1"/>
    </xf>
    <xf numFmtId="0" fontId="21" fillId="0" borderId="33" xfId="0" applyFont="1" applyBorder="1" applyAlignment="1">
      <alignment horizontal="right" vertical="top" wrapText="1"/>
    </xf>
    <xf numFmtId="0" fontId="21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18" fillId="25" borderId="39" xfId="0" applyFont="1" applyFill="1" applyBorder="1" applyAlignment="1" applyProtection="1">
      <alignment horizontal="right"/>
    </xf>
    <xf numFmtId="0" fontId="53" fillId="0" borderId="39" xfId="0" applyFont="1" applyFill="1" applyBorder="1" applyProtection="1"/>
    <xf numFmtId="0" fontId="53" fillId="0" borderId="0" xfId="0" applyFont="1" applyFill="1" applyBorder="1" applyProtection="1"/>
    <xf numFmtId="0" fontId="53" fillId="0" borderId="40" xfId="0" applyFont="1" applyFill="1" applyBorder="1" applyProtection="1"/>
    <xf numFmtId="0" fontId="53" fillId="0" borderId="0" xfId="0" applyFont="1" applyBorder="1" applyAlignment="1"/>
    <xf numFmtId="0" fontId="53" fillId="0" borderId="40" xfId="0" applyFont="1" applyBorder="1" applyAlignment="1"/>
    <xf numFmtId="0" fontId="53" fillId="0" borderId="0" xfId="0" applyFont="1" applyFill="1" applyProtection="1"/>
    <xf numFmtId="0" fontId="21" fillId="0" borderId="0" xfId="0" applyFont="1" applyFill="1" applyBorder="1" applyProtection="1"/>
    <xf numFmtId="0" fontId="11" fillId="27" borderId="0" xfId="0" applyFont="1" applyFill="1"/>
    <xf numFmtId="0" fontId="11" fillId="27" borderId="0" xfId="0" applyFont="1" applyFill="1" applyAlignment="1">
      <alignment wrapText="1"/>
    </xf>
    <xf numFmtId="0" fontId="10" fillId="0" borderId="0" xfId="0" applyFont="1"/>
    <xf numFmtId="0" fontId="17" fillId="0" borderId="0" xfId="0" applyFont="1" applyFill="1" applyProtection="1"/>
    <xf numFmtId="0" fontId="22" fillId="29" borderId="0" xfId="0" applyFont="1" applyFill="1" applyProtection="1"/>
    <xf numFmtId="0" fontId="11" fillId="29" borderId="0" xfId="0" applyFont="1" applyFill="1" applyProtection="1"/>
    <xf numFmtId="0" fontId="22" fillId="29" borderId="0" xfId="0" applyFont="1" applyFill="1" applyBorder="1" applyAlignment="1">
      <alignment horizontal="left"/>
    </xf>
    <xf numFmtId="15" fontId="13" fillId="29" borderId="0" xfId="0" applyNumberFormat="1" applyFont="1" applyFill="1" applyBorder="1" applyAlignment="1">
      <alignment horizontal="left"/>
    </xf>
    <xf numFmtId="0" fontId="22" fillId="29" borderId="0" xfId="0" applyFont="1" applyFill="1" applyBorder="1" applyAlignment="1"/>
    <xf numFmtId="15" fontId="13" fillId="29" borderId="0" xfId="0" applyNumberFormat="1" applyFont="1" applyFill="1" applyBorder="1" applyAlignment="1" applyProtection="1">
      <alignment horizontal="left"/>
      <protection locked="0"/>
    </xf>
    <xf numFmtId="0" fontId="22" fillId="29" borderId="0" xfId="0" applyFont="1" applyFill="1"/>
    <xf numFmtId="0" fontId="13" fillId="29" borderId="0" xfId="0" applyFont="1" applyFill="1" applyBorder="1" applyAlignment="1" applyProtection="1">
      <alignment horizontal="left"/>
      <protection locked="0"/>
    </xf>
    <xf numFmtId="0" fontId="13" fillId="29" borderId="0" xfId="0" applyFont="1" applyFill="1" applyBorder="1" applyAlignment="1">
      <alignment horizontal="left"/>
    </xf>
    <xf numFmtId="0" fontId="22" fillId="29" borderId="0" xfId="0" applyFont="1" applyFill="1" applyBorder="1" applyProtection="1"/>
    <xf numFmtId="1" fontId="13" fillId="29" borderId="0" xfId="0" applyNumberFormat="1" applyFont="1" applyFill="1" applyBorder="1" applyAlignment="1">
      <alignment horizontal="left"/>
    </xf>
    <xf numFmtId="0" fontId="17" fillId="29" borderId="0" xfId="0" applyFont="1" applyFill="1" applyProtection="1"/>
    <xf numFmtId="0" fontId="17" fillId="0" borderId="0" xfId="0" applyFont="1" applyFill="1" applyBorder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9" borderId="0" xfId="0" applyFont="1" applyFill="1" applyBorder="1" applyAlignment="1">
      <alignment horizontal="left"/>
    </xf>
    <xf numFmtId="0" fontId="20" fillId="26" borderId="0" xfId="0" applyFont="1" applyFill="1"/>
    <xf numFmtId="0" fontId="10" fillId="26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7" fillId="0" borderId="0" xfId="42" applyFont="1"/>
    <xf numFmtId="0" fontId="10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8" fillId="0" borderId="0" xfId="42" applyFont="1" applyBorder="1"/>
    <xf numFmtId="0" fontId="10" fillId="0" borderId="0" xfId="42" applyBorder="1"/>
    <xf numFmtId="0" fontId="58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7" fillId="0" borderId="0" xfId="42" applyFont="1" applyBorder="1"/>
    <xf numFmtId="0" fontId="13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53" xfId="42" applyBorder="1"/>
    <xf numFmtId="0" fontId="10" fillId="0" borderId="54" xfId="42" applyBorder="1"/>
    <xf numFmtId="0" fontId="10" fillId="0" borderId="0" xfId="42" applyAlignment="1">
      <alignment horizontal="left"/>
    </xf>
    <xf numFmtId="0" fontId="10" fillId="0" borderId="55" xfId="42" applyFont="1" applyBorder="1"/>
    <xf numFmtId="0" fontId="13" fillId="0" borderId="55" xfId="42" applyFont="1" applyBorder="1"/>
    <xf numFmtId="0" fontId="10" fillId="0" borderId="56" xfId="42" applyFont="1" applyBorder="1"/>
    <xf numFmtId="0" fontId="10" fillId="0" borderId="55" xfId="42" applyFont="1" applyBorder="1" applyAlignment="1">
      <alignment horizontal="center"/>
    </xf>
    <xf numFmtId="0" fontId="10" fillId="0" borderId="56" xfId="42" applyBorder="1"/>
    <xf numFmtId="0" fontId="10" fillId="0" borderId="57" xfId="42" applyFont="1" applyBorder="1"/>
    <xf numFmtId="0" fontId="13" fillId="0" borderId="57" xfId="42" applyFont="1" applyBorder="1"/>
    <xf numFmtId="0" fontId="13" fillId="0" borderId="57" xfId="42" applyFont="1" applyBorder="1" applyAlignment="1">
      <alignment horizontal="right"/>
    </xf>
    <xf numFmtId="0" fontId="10" fillId="0" borderId="57" xfId="42" applyFont="1" applyBorder="1" applyAlignment="1">
      <alignment horizontal="center"/>
    </xf>
    <xf numFmtId="0" fontId="10" fillId="0" borderId="57" xfId="42" applyFont="1" applyBorder="1" applyAlignment="1">
      <alignment horizontal="right"/>
    </xf>
    <xf numFmtId="0" fontId="35" fillId="0" borderId="57" xfId="42" applyFont="1" applyBorder="1" applyAlignment="1">
      <alignment horizontal="left"/>
    </xf>
    <xf numFmtId="0" fontId="10" fillId="0" borderId="58" xfId="42" applyFont="1" applyBorder="1"/>
    <xf numFmtId="0" fontId="10" fillId="0" borderId="58" xfId="42" applyBorder="1"/>
    <xf numFmtId="0" fontId="10" fillId="0" borderId="59" xfId="42" applyBorder="1"/>
    <xf numFmtId="0" fontId="10" fillId="0" borderId="60" xfId="42" applyBorder="1"/>
    <xf numFmtId="0" fontId="10" fillId="0" borderId="34" xfId="42" applyBorder="1"/>
    <xf numFmtId="0" fontId="10" fillId="0" borderId="32" xfId="42" applyBorder="1"/>
    <xf numFmtId="0" fontId="10" fillId="0" borderId="61" xfId="42" applyBorder="1"/>
    <xf numFmtId="0" fontId="10" fillId="0" borderId="33" xfId="42" applyBorder="1"/>
    <xf numFmtId="0" fontId="13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62" xfId="42" applyBorder="1"/>
    <xf numFmtId="0" fontId="10" fillId="0" borderId="63" xfId="42" applyBorder="1"/>
    <xf numFmtId="0" fontId="10" fillId="0" borderId="64" xfId="42" applyBorder="1"/>
    <xf numFmtId="0" fontId="10" fillId="0" borderId="65" xfId="42" applyBorder="1"/>
    <xf numFmtId="0" fontId="21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3" fillId="0" borderId="0" xfId="42" applyFont="1" applyFill="1"/>
    <xf numFmtId="15" fontId="13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60" xfId="42" applyFill="1" applyBorder="1"/>
    <xf numFmtId="0" fontId="13" fillId="0" borderId="60" xfId="42" applyFont="1" applyFill="1" applyBorder="1"/>
    <xf numFmtId="0" fontId="10" fillId="0" borderId="0" xfId="42" applyFill="1" applyBorder="1"/>
    <xf numFmtId="0" fontId="10" fillId="0" borderId="68" xfId="42" applyFill="1" applyBorder="1"/>
    <xf numFmtId="0" fontId="13" fillId="0" borderId="32" xfId="42" applyFont="1" applyFill="1" applyBorder="1"/>
    <xf numFmtId="0" fontId="10" fillId="0" borderId="33" xfId="42" applyFill="1" applyBorder="1"/>
    <xf numFmtId="170" fontId="59" fillId="0" borderId="7" xfId="42" applyNumberFormat="1" applyFont="1" applyFill="1" applyBorder="1" applyAlignment="1">
      <alignment horizontal="right"/>
    </xf>
    <xf numFmtId="170" fontId="59" fillId="0" borderId="33" xfId="42" applyNumberFormat="1" applyFont="1" applyFill="1" applyBorder="1" applyAlignment="1">
      <alignment horizontal="right"/>
    </xf>
    <xf numFmtId="0" fontId="13" fillId="0" borderId="69" xfId="42" applyFont="1" applyFill="1" applyBorder="1"/>
    <xf numFmtId="0" fontId="10" fillId="0" borderId="66" xfId="42" applyFill="1" applyBorder="1"/>
    <xf numFmtId="0" fontId="10" fillId="0" borderId="49" xfId="42" applyFill="1" applyBorder="1"/>
    <xf numFmtId="0" fontId="10" fillId="0" borderId="67" xfId="42" applyFill="1" applyBorder="1"/>
    <xf numFmtId="1" fontId="59" fillId="0" borderId="35" xfId="42" applyNumberFormat="1" applyFont="1" applyFill="1" applyBorder="1" applyAlignment="1">
      <alignment horizontal="right"/>
    </xf>
    <xf numFmtId="170" fontId="59" fillId="0" borderId="35" xfId="42" applyNumberFormat="1" applyFont="1" applyFill="1" applyBorder="1" applyAlignment="1">
      <alignment horizontal="right"/>
    </xf>
    <xf numFmtId="0" fontId="10" fillId="0" borderId="69" xfId="42" applyFill="1" applyBorder="1"/>
    <xf numFmtId="1" fontId="59" fillId="0" borderId="7" xfId="42" applyNumberFormat="1" applyFont="1" applyFill="1" applyBorder="1" applyAlignment="1">
      <alignment horizontal="right"/>
    </xf>
    <xf numFmtId="0" fontId="13" fillId="0" borderId="33" xfId="42" applyFont="1" applyFill="1" applyBorder="1"/>
    <xf numFmtId="0" fontId="13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" fontId="60" fillId="0" borderId="0" xfId="42" applyNumberFormat="1" applyFont="1" applyFill="1" applyBorder="1" applyAlignment="1">
      <alignment horizontal="right"/>
    </xf>
    <xf numFmtId="170" fontId="60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0" fillId="0" borderId="7" xfId="42" applyFill="1" applyBorder="1"/>
    <xf numFmtId="0" fontId="13" fillId="0" borderId="7" xfId="42" applyFont="1" applyFill="1" applyBorder="1" applyAlignment="1">
      <alignment horizontal="left"/>
    </xf>
    <xf numFmtId="1" fontId="60" fillId="0" borderId="60" xfId="42" applyNumberFormat="1" applyFont="1" applyFill="1" applyBorder="1" applyAlignment="1">
      <alignment horizontal="right"/>
    </xf>
    <xf numFmtId="170" fontId="60" fillId="0" borderId="60" xfId="42" applyNumberFormat="1" applyFont="1" applyFill="1" applyBorder="1" applyAlignment="1">
      <alignment horizontal="right"/>
    </xf>
    <xf numFmtId="0" fontId="10" fillId="0" borderId="59" xfId="42" applyFill="1" applyBorder="1"/>
    <xf numFmtId="0" fontId="10" fillId="0" borderId="60" xfId="42" applyFill="1" applyBorder="1" applyAlignment="1">
      <alignment horizontal="right"/>
    </xf>
    <xf numFmtId="1" fontId="59" fillId="0" borderId="70" xfId="42" applyNumberFormat="1" applyFont="1" applyFill="1" applyBorder="1" applyAlignment="1">
      <alignment horizontal="right"/>
    </xf>
    <xf numFmtId="170" fontId="59" fillId="0" borderId="70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9" fillId="0" borderId="71" xfId="42" applyNumberFormat="1" applyFont="1" applyFill="1" applyBorder="1" applyAlignment="1">
      <alignment horizontal="right"/>
    </xf>
    <xf numFmtId="170" fontId="59" fillId="0" borderId="71" xfId="42" applyNumberFormat="1" applyFont="1" applyFill="1" applyBorder="1" applyAlignment="1">
      <alignment horizontal="right"/>
    </xf>
    <xf numFmtId="0" fontId="10" fillId="0" borderId="49" xfId="42" applyFill="1" applyBorder="1" applyAlignment="1">
      <alignment horizontal="right"/>
    </xf>
    <xf numFmtId="0" fontId="13" fillId="0" borderId="49" xfId="42" applyFont="1" applyFill="1" applyBorder="1"/>
    <xf numFmtId="0" fontId="61" fillId="0" borderId="0" xfId="42" applyFont="1" applyFill="1" applyBorder="1" applyAlignment="1">
      <alignment horizontal="right"/>
    </xf>
    <xf numFmtId="0" fontId="61" fillId="0" borderId="33" xfId="42" applyFont="1" applyFill="1" applyBorder="1" applyAlignment="1">
      <alignment horizontal="right"/>
    </xf>
    <xf numFmtId="0" fontId="57" fillId="0" borderId="32" xfId="42" applyFont="1" applyFill="1" applyBorder="1"/>
    <xf numFmtId="0" fontId="10" fillId="0" borderId="33" xfId="42" applyFill="1" applyBorder="1" applyAlignment="1">
      <alignment horizontal="right"/>
    </xf>
    <xf numFmtId="0" fontId="61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62" fillId="0" borderId="0" xfId="42" applyFont="1"/>
    <xf numFmtId="0" fontId="13" fillId="26" borderId="7" xfId="42" applyFont="1" applyFill="1" applyBorder="1"/>
    <xf numFmtId="0" fontId="10" fillId="26" borderId="59" xfId="42" applyFill="1" applyBorder="1"/>
    <xf numFmtId="0" fontId="10" fillId="26" borderId="60" xfId="42" applyFill="1" applyBorder="1"/>
    <xf numFmtId="0" fontId="13" fillId="26" borderId="60" xfId="42" applyFont="1" applyFill="1" applyBorder="1"/>
    <xf numFmtId="0" fontId="10" fillId="26" borderId="60" xfId="42" applyFill="1" applyBorder="1" applyAlignment="1">
      <alignment horizontal="right"/>
    </xf>
    <xf numFmtId="1" fontId="63" fillId="26" borderId="70" xfId="42" applyNumberFormat="1" applyFont="1" applyFill="1" applyBorder="1" applyAlignment="1">
      <alignment horizontal="right"/>
    </xf>
    <xf numFmtId="170" fontId="63" fillId="26" borderId="70" xfId="42" applyNumberFormat="1" applyFont="1" applyFill="1" applyBorder="1" applyAlignment="1">
      <alignment horizontal="right"/>
    </xf>
    <xf numFmtId="0" fontId="10" fillId="26" borderId="69" xfId="42" applyFill="1" applyBorder="1"/>
    <xf numFmtId="0" fontId="10" fillId="26" borderId="0" xfId="42" applyFill="1" applyBorder="1"/>
    <xf numFmtId="0" fontId="10" fillId="26" borderId="0" xfId="42" applyFill="1" applyBorder="1" applyAlignment="1">
      <alignment horizontal="right"/>
    </xf>
    <xf numFmtId="0" fontId="13" fillId="26" borderId="0" xfId="42" applyFont="1" applyFill="1" applyBorder="1"/>
    <xf numFmtId="1" fontId="63" fillId="26" borderId="71" xfId="42" applyNumberFormat="1" applyFont="1" applyFill="1" applyBorder="1" applyAlignment="1">
      <alignment horizontal="right"/>
    </xf>
    <xf numFmtId="170" fontId="63" fillId="26" borderId="71" xfId="42" applyNumberFormat="1" applyFont="1" applyFill="1" applyBorder="1" applyAlignment="1">
      <alignment horizontal="right"/>
    </xf>
    <xf numFmtId="0" fontId="31" fillId="26" borderId="66" xfId="42" applyFont="1" applyFill="1" applyBorder="1"/>
    <xf numFmtId="0" fontId="31" fillId="26" borderId="49" xfId="42" applyFont="1" applyFill="1" applyBorder="1"/>
    <xf numFmtId="0" fontId="64" fillId="26" borderId="49" xfId="42" applyFont="1" applyFill="1" applyBorder="1"/>
    <xf numFmtId="0" fontId="10" fillId="26" borderId="49" xfId="42" applyFill="1" applyBorder="1"/>
    <xf numFmtId="0" fontId="10" fillId="26" borderId="49" xfId="42" applyFont="1" applyFill="1" applyBorder="1"/>
    <xf numFmtId="1" fontId="63" fillId="26" borderId="7" xfId="42" applyNumberFormat="1" applyFont="1" applyFill="1" applyBorder="1" applyAlignment="1">
      <alignment horizontal="right"/>
    </xf>
    <xf numFmtId="170" fontId="63" fillId="26" borderId="7" xfId="42" applyNumberFormat="1" applyFont="1" applyFill="1" applyBorder="1" applyAlignment="1">
      <alignment horizontal="right"/>
    </xf>
    <xf numFmtId="0" fontId="64" fillId="0" borderId="60" xfId="42" applyFont="1" applyFill="1" applyBorder="1"/>
    <xf numFmtId="1" fontId="63" fillId="0" borderId="33" xfId="42" applyNumberFormat="1" applyFont="1" applyFill="1" applyBorder="1" applyAlignment="1">
      <alignment horizontal="right"/>
    </xf>
    <xf numFmtId="170" fontId="63" fillId="0" borderId="33" xfId="42" applyNumberFormat="1" applyFont="1" applyFill="1" applyBorder="1" applyAlignment="1">
      <alignment horizontal="right"/>
    </xf>
    <xf numFmtId="0" fontId="13" fillId="0" borderId="7" xfId="42" applyFont="1" applyBorder="1"/>
    <xf numFmtId="0" fontId="13" fillId="0" borderId="60" xfId="42" applyFont="1" applyBorder="1"/>
    <xf numFmtId="0" fontId="10" fillId="0" borderId="60" xfId="42" applyBorder="1" applyAlignment="1">
      <alignment horizontal="right"/>
    </xf>
    <xf numFmtId="1" fontId="63" fillId="0" borderId="71" xfId="42" applyNumberFormat="1" applyFont="1" applyBorder="1" applyAlignment="1">
      <alignment horizontal="right"/>
    </xf>
    <xf numFmtId="170" fontId="63" fillId="0" borderId="71" xfId="42" applyNumberFormat="1" applyFont="1" applyBorder="1" applyAlignment="1">
      <alignment horizontal="right"/>
    </xf>
    <xf numFmtId="0" fontId="10" fillId="0" borderId="69" xfId="42" applyBorder="1"/>
    <xf numFmtId="0" fontId="10" fillId="0" borderId="0" xfId="42" applyBorder="1" applyAlignment="1">
      <alignment horizontal="right"/>
    </xf>
    <xf numFmtId="0" fontId="31" fillId="0" borderId="66" xfId="42" applyFont="1" applyBorder="1"/>
    <xf numFmtId="0" fontId="31" fillId="0" borderId="49" xfId="42" applyFont="1" applyBorder="1"/>
    <xf numFmtId="0" fontId="64" fillId="0" borderId="49" xfId="42" applyFont="1" applyBorder="1"/>
    <xf numFmtId="0" fontId="31" fillId="0" borderId="49" xfId="42" applyFont="1" applyBorder="1" applyAlignment="1">
      <alignment horizontal="right"/>
    </xf>
    <xf numFmtId="0" fontId="10" fillId="0" borderId="49" xfId="42" applyBorder="1"/>
    <xf numFmtId="0" fontId="10" fillId="0" borderId="49" xfId="42" applyFont="1" applyBorder="1"/>
    <xf numFmtId="1" fontId="63" fillId="0" borderId="7" xfId="42" applyNumberFormat="1" applyFont="1" applyBorder="1" applyAlignment="1">
      <alignment horizontal="right"/>
    </xf>
    <xf numFmtId="170" fontId="63" fillId="0" borderId="7" xfId="42" applyNumberFormat="1" applyFont="1" applyBorder="1" applyAlignment="1">
      <alignment horizontal="right"/>
    </xf>
    <xf numFmtId="0" fontId="13" fillId="0" borderId="33" xfId="42" applyFont="1" applyBorder="1"/>
    <xf numFmtId="0" fontId="64" fillId="0" borderId="60" xfId="42" applyFont="1" applyBorder="1"/>
    <xf numFmtId="1" fontId="63" fillId="0" borderId="60" xfId="42" applyNumberFormat="1" applyFont="1" applyBorder="1" applyAlignment="1">
      <alignment horizontal="right"/>
    </xf>
    <xf numFmtId="170" fontId="63" fillId="0" borderId="60" xfId="42" applyNumberFormat="1" applyFont="1" applyBorder="1" applyAlignment="1">
      <alignment horizontal="right"/>
    </xf>
    <xf numFmtId="0" fontId="10" fillId="26" borderId="49" xfId="42" applyFill="1" applyBorder="1" applyAlignment="1">
      <alignment horizontal="right"/>
    </xf>
    <xf numFmtId="0" fontId="10" fillId="0" borderId="49" xfId="42" applyBorder="1" applyAlignment="1">
      <alignment horizontal="right"/>
    </xf>
    <xf numFmtId="0" fontId="10" fillId="0" borderId="33" xfId="42" applyBorder="1" applyAlignment="1">
      <alignment horizontal="right"/>
    </xf>
    <xf numFmtId="0" fontId="57" fillId="0" borderId="33" xfId="42" applyFont="1" applyBorder="1"/>
    <xf numFmtId="0" fontId="10" fillId="0" borderId="34" xfId="42" applyBorder="1" applyAlignment="1">
      <alignment horizontal="right"/>
    </xf>
    <xf numFmtId="0" fontId="24" fillId="0" borderId="0" xfId="42" applyFont="1"/>
    <xf numFmtId="0" fontId="21" fillId="0" borderId="0" xfId="42" applyFont="1" applyAlignment="1">
      <alignment horizontal="left"/>
    </xf>
    <xf numFmtId="0" fontId="10" fillId="30" borderId="0" xfId="42" applyFill="1"/>
    <xf numFmtId="0" fontId="65" fillId="30" borderId="0" xfId="42" applyFont="1" applyFill="1" applyAlignment="1">
      <alignment horizontal="left"/>
    </xf>
    <xf numFmtId="0" fontId="57" fillId="30" borderId="0" xfId="42" applyFont="1" applyFill="1"/>
    <xf numFmtId="0" fontId="18" fillId="30" borderId="0" xfId="42" applyFont="1" applyFill="1"/>
    <xf numFmtId="0" fontId="21" fillId="30" borderId="0" xfId="42" applyFont="1" applyFill="1"/>
    <xf numFmtId="0" fontId="10" fillId="30" borderId="72" xfId="42" applyFill="1" applyBorder="1"/>
    <xf numFmtId="0" fontId="18" fillId="30" borderId="72" xfId="42" applyFont="1" applyFill="1" applyBorder="1"/>
    <xf numFmtId="0" fontId="21" fillId="30" borderId="72" xfId="42" applyFont="1" applyFill="1" applyBorder="1"/>
    <xf numFmtId="0" fontId="10" fillId="30" borderId="0" xfId="42" applyFill="1" applyBorder="1"/>
    <xf numFmtId="0" fontId="18" fillId="30" borderId="0" xfId="42" applyFont="1" applyFill="1" applyBorder="1"/>
    <xf numFmtId="0" fontId="21" fillId="30" borderId="0" xfId="42" applyFont="1" applyFill="1" applyBorder="1"/>
    <xf numFmtId="0" fontId="10" fillId="30" borderId="0" xfId="42" applyFill="1" applyAlignment="1">
      <alignment horizontal="right"/>
    </xf>
    <xf numFmtId="0" fontId="18" fillId="30" borderId="73" xfId="42" applyFont="1" applyFill="1" applyBorder="1"/>
    <xf numFmtId="0" fontId="10" fillId="30" borderId="73" xfId="42" applyFill="1" applyBorder="1"/>
    <xf numFmtId="0" fontId="67" fillId="30" borderId="0" xfId="42" applyFont="1" applyFill="1"/>
    <xf numFmtId="0" fontId="13" fillId="27" borderId="0" xfId="42" applyFont="1" applyFill="1" applyAlignment="1">
      <alignment horizontal="left"/>
    </xf>
    <xf numFmtId="0" fontId="13" fillId="30" borderId="0" xfId="42" applyFont="1" applyFill="1"/>
    <xf numFmtId="0" fontId="68" fillId="30" borderId="74" xfId="42" applyFont="1" applyFill="1" applyBorder="1" applyAlignment="1">
      <alignment horizontal="left"/>
    </xf>
    <xf numFmtId="0" fontId="10" fillId="30" borderId="74" xfId="42" applyFill="1" applyBorder="1"/>
    <xf numFmtId="0" fontId="68" fillId="30" borderId="0" xfId="42" applyFont="1" applyFill="1" applyBorder="1" applyAlignment="1">
      <alignment horizontal="left"/>
    </xf>
    <xf numFmtId="0" fontId="33" fillId="30" borderId="0" xfId="42" applyFont="1" applyFill="1"/>
    <xf numFmtId="0" fontId="10" fillId="27" borderId="0" xfId="42" applyFill="1" applyAlignment="1">
      <alignment horizontal="center"/>
    </xf>
    <xf numFmtId="0" fontId="10" fillId="30" borderId="0" xfId="42" applyFill="1" applyAlignment="1">
      <alignment horizontal="center"/>
    </xf>
    <xf numFmtId="0" fontId="10" fillId="27" borderId="0" xfId="42" applyFill="1" applyAlignment="1">
      <alignment horizontal="left"/>
    </xf>
    <xf numFmtId="0" fontId="33" fillId="30" borderId="0" xfId="42" applyFont="1" applyFill="1" applyAlignment="1">
      <alignment horizontal="right"/>
    </xf>
    <xf numFmtId="0" fontId="10" fillId="0" borderId="74" xfId="42" applyFill="1" applyBorder="1"/>
    <xf numFmtId="0" fontId="10" fillId="30" borderId="23" xfId="42" applyFill="1" applyBorder="1"/>
    <xf numFmtId="0" fontId="33" fillId="30" borderId="23" xfId="42" applyFont="1" applyFill="1" applyBorder="1"/>
    <xf numFmtId="0" fontId="13" fillId="30" borderId="0" xfId="42" applyFont="1" applyFill="1" applyAlignment="1">
      <alignment horizontal="left"/>
    </xf>
    <xf numFmtId="0" fontId="67" fillId="30" borderId="0" xfId="42" applyFont="1" applyFill="1" applyAlignment="1">
      <alignment horizontal="center"/>
    </xf>
    <xf numFmtId="0" fontId="68" fillId="30" borderId="0" xfId="42" applyFont="1" applyFill="1"/>
    <xf numFmtId="0" fontId="10" fillId="27" borderId="0" xfId="42" applyFill="1" applyBorder="1" applyAlignment="1">
      <alignment horizontal="left"/>
    </xf>
    <xf numFmtId="0" fontId="69" fillId="30" borderId="0" xfId="42" applyFont="1" applyFill="1" applyBorder="1"/>
    <xf numFmtId="0" fontId="10" fillId="30" borderId="0" xfId="42" applyFill="1" applyBorder="1" applyAlignment="1">
      <alignment horizontal="left"/>
    </xf>
    <xf numFmtId="0" fontId="10" fillId="30" borderId="76" xfId="42" applyFill="1" applyBorder="1"/>
    <xf numFmtId="0" fontId="10" fillId="27" borderId="76" xfId="42" applyFill="1" applyBorder="1" applyAlignment="1">
      <alignment horizontal="right"/>
    </xf>
    <xf numFmtId="0" fontId="10" fillId="27" borderId="76" xfId="42" applyFill="1" applyBorder="1"/>
    <xf numFmtId="0" fontId="10" fillId="27" borderId="76" xfId="42" applyFill="1" applyBorder="1" applyAlignment="1">
      <alignment horizontal="left"/>
    </xf>
    <xf numFmtId="49" fontId="32" fillId="30" borderId="74" xfId="42" applyNumberFormat="1" applyFont="1" applyFill="1" applyBorder="1"/>
    <xf numFmtId="0" fontId="10" fillId="30" borderId="74" xfId="42" applyFill="1" applyBorder="1" applyAlignment="1">
      <alignment horizontal="left"/>
    </xf>
    <xf numFmtId="0" fontId="10" fillId="30" borderId="77" xfId="42" applyFill="1" applyBorder="1"/>
    <xf numFmtId="0" fontId="10" fillId="27" borderId="77" xfId="42" applyFill="1" applyBorder="1" applyAlignment="1">
      <alignment horizontal="right"/>
    </xf>
    <xf numFmtId="0" fontId="10" fillId="27" borderId="77" xfId="42" applyFill="1" applyBorder="1"/>
    <xf numFmtId="0" fontId="10" fillId="27" borderId="77" xfId="42" applyFill="1" applyBorder="1" applyAlignment="1">
      <alignment horizontal="left"/>
    </xf>
    <xf numFmtId="0" fontId="10" fillId="30" borderId="75" xfId="42" applyFill="1" applyBorder="1"/>
    <xf numFmtId="0" fontId="68" fillId="30" borderId="75" xfId="42" applyFont="1" applyFill="1" applyBorder="1" applyAlignment="1">
      <alignment horizontal="left"/>
    </xf>
    <xf numFmtId="49" fontId="32" fillId="30" borderId="75" xfId="42" applyNumberFormat="1" applyFont="1" applyFill="1" applyBorder="1"/>
    <xf numFmtId="0" fontId="10" fillId="30" borderId="75" xfId="42" applyFill="1" applyBorder="1" applyAlignment="1">
      <alignment horizontal="left"/>
    </xf>
    <xf numFmtId="0" fontId="10" fillId="30" borderId="48" xfId="42" applyFill="1" applyBorder="1"/>
    <xf numFmtId="0" fontId="10" fillId="30" borderId="48" xfId="42" applyFill="1" applyBorder="1" applyAlignment="1">
      <alignment horizontal="right"/>
    </xf>
    <xf numFmtId="0" fontId="68" fillId="30" borderId="78" xfId="42" applyFont="1" applyFill="1" applyBorder="1" applyAlignment="1">
      <alignment horizontal="left"/>
    </xf>
    <xf numFmtId="49" fontId="32" fillId="30" borderId="78" xfId="42" applyNumberFormat="1" applyFont="1" applyFill="1" applyBorder="1"/>
    <xf numFmtId="0" fontId="10" fillId="30" borderId="78" xfId="42" applyFill="1" applyBorder="1" applyAlignment="1">
      <alignment horizontal="left"/>
    </xf>
    <xf numFmtId="0" fontId="18" fillId="30" borderId="76" xfId="42" applyFont="1" applyFill="1" applyBorder="1" applyAlignment="1">
      <alignment horizontal="left"/>
    </xf>
    <xf numFmtId="0" fontId="10" fillId="30" borderId="76" xfId="42" applyFill="1" applyBorder="1" applyAlignment="1">
      <alignment horizontal="right"/>
    </xf>
    <xf numFmtId="0" fontId="10" fillId="30" borderId="0" xfId="42" applyFill="1" applyBorder="1" applyAlignment="1">
      <alignment horizontal="right"/>
    </xf>
    <xf numFmtId="49" fontId="32" fillId="30" borderId="0" xfId="42" applyNumberFormat="1" applyFont="1" applyFill="1" applyBorder="1"/>
    <xf numFmtId="0" fontId="10" fillId="27" borderId="0" xfId="42" applyFill="1" applyBorder="1" applyAlignment="1">
      <alignment horizontal="right"/>
    </xf>
    <xf numFmtId="0" fontId="67" fillId="30" borderId="0" xfId="42" applyFont="1" applyFill="1" applyBorder="1"/>
    <xf numFmtId="0" fontId="10" fillId="30" borderId="73" xfId="42" applyFill="1" applyBorder="1" applyAlignment="1">
      <alignment horizontal="right"/>
    </xf>
    <xf numFmtId="0" fontId="10" fillId="27" borderId="73" xfId="42" applyFill="1" applyBorder="1" applyAlignment="1">
      <alignment horizontal="left"/>
    </xf>
    <xf numFmtId="0" fontId="16" fillId="30" borderId="0" xfId="42" applyFont="1" applyFill="1"/>
    <xf numFmtId="0" fontId="18" fillId="30" borderId="74" xfId="42" applyFont="1" applyFill="1" applyBorder="1"/>
    <xf numFmtId="0" fontId="10" fillId="27" borderId="74" xfId="42" applyFill="1" applyBorder="1" applyAlignment="1">
      <alignment horizontal="left"/>
    </xf>
    <xf numFmtId="0" fontId="18" fillId="30" borderId="75" xfId="42" applyFont="1" applyFill="1" applyBorder="1"/>
    <xf numFmtId="0" fontId="10" fillId="27" borderId="75" xfId="42" applyFill="1" applyBorder="1" applyAlignment="1">
      <alignment horizontal="left"/>
    </xf>
    <xf numFmtId="0" fontId="10" fillId="30" borderId="75" xfId="42" applyFill="1" applyBorder="1" applyAlignment="1">
      <alignment horizontal="right"/>
    </xf>
    <xf numFmtId="0" fontId="10" fillId="30" borderId="75" xfId="42" applyFill="1" applyBorder="1" applyAlignment="1">
      <alignment horizontal="center"/>
    </xf>
    <xf numFmtId="0" fontId="13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3" fillId="0" borderId="0" xfId="42" applyNumberFormat="1" applyFont="1" applyAlignment="1">
      <alignment wrapText="1"/>
    </xf>
    <xf numFmtId="2" fontId="13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66" fillId="29" borderId="0" xfId="42" applyFont="1" applyFill="1"/>
    <xf numFmtId="0" fontId="10" fillId="29" borderId="0" xfId="42" applyFill="1"/>
    <xf numFmtId="0" fontId="18" fillId="29" borderId="0" xfId="42" applyFont="1" applyFill="1"/>
    <xf numFmtId="0" fontId="10" fillId="29" borderId="0" xfId="42" applyFill="1" applyProtection="1"/>
    <xf numFmtId="0" fontId="10" fillId="29" borderId="0" xfId="42" applyFill="1" applyProtection="1">
      <protection locked="0"/>
    </xf>
    <xf numFmtId="15" fontId="10" fillId="29" borderId="0" xfId="42" applyNumberFormat="1" applyFill="1" applyAlignment="1">
      <alignment horizontal="left"/>
    </xf>
    <xf numFmtId="0" fontId="10" fillId="29" borderId="0" xfId="42" applyFill="1" applyAlignment="1">
      <alignment horizontal="right"/>
    </xf>
    <xf numFmtId="0" fontId="10" fillId="29" borderId="0" xfId="42" applyFill="1" applyAlignment="1">
      <alignment horizontal="center"/>
    </xf>
    <xf numFmtId="0" fontId="10" fillId="29" borderId="0" xfId="42" applyFill="1" applyAlignment="1">
      <alignment horizontal="left"/>
    </xf>
    <xf numFmtId="0" fontId="18" fillId="29" borderId="0" xfId="42" applyFont="1" applyFill="1" applyBorder="1"/>
    <xf numFmtId="0" fontId="10" fillId="29" borderId="0" xfId="42" applyFill="1" applyBorder="1" applyAlignment="1" applyProtection="1">
      <alignment vertical="center"/>
      <protection locked="0"/>
    </xf>
    <xf numFmtId="0" fontId="10" fillId="29" borderId="0" xfId="42" applyFill="1" applyBorder="1" applyProtection="1">
      <protection locked="0"/>
    </xf>
    <xf numFmtId="2" fontId="10" fillId="29" borderId="0" xfId="42" applyNumberFormat="1" applyFill="1"/>
    <xf numFmtId="0" fontId="18" fillId="29" borderId="73" xfId="42" applyFont="1" applyFill="1" applyBorder="1"/>
    <xf numFmtId="0" fontId="10" fillId="29" borderId="73" xfId="42" applyFill="1" applyBorder="1"/>
    <xf numFmtId="0" fontId="10" fillId="26" borderId="0" xfId="0" applyFont="1" applyFill="1" applyAlignment="1">
      <alignment horizontal="right"/>
    </xf>
    <xf numFmtId="0" fontId="13" fillId="26" borderId="0" xfId="0" applyFont="1" applyFill="1"/>
    <xf numFmtId="171" fontId="10" fillId="0" borderId="0" xfId="42" applyNumberFormat="1"/>
    <xf numFmtId="0" fontId="10" fillId="29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9" xfId="0" applyBorder="1"/>
    <xf numFmtId="0" fontId="71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8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72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8" fillId="0" borderId="0" xfId="42" applyFont="1" applyFill="1"/>
    <xf numFmtId="0" fontId="10" fillId="26" borderId="0" xfId="42" applyFont="1" applyFill="1" applyBorder="1"/>
    <xf numFmtId="0" fontId="73" fillId="26" borderId="0" xfId="42" applyFont="1" applyFill="1" applyBorder="1"/>
    <xf numFmtId="0" fontId="10" fillId="26" borderId="0" xfId="42" applyFill="1"/>
    <xf numFmtId="0" fontId="10" fillId="26" borderId="0" xfId="42" applyFont="1" applyFill="1"/>
    <xf numFmtId="0" fontId="10" fillId="30" borderId="0" xfId="42" applyFill="1" applyAlignment="1">
      <alignment vertical="center"/>
    </xf>
    <xf numFmtId="0" fontId="15" fillId="31" borderId="80" xfId="0" applyFont="1" applyFill="1" applyBorder="1"/>
    <xf numFmtId="0" fontId="25" fillId="31" borderId="23" xfId="0" applyFont="1" applyFill="1" applyBorder="1"/>
    <xf numFmtId="0" fontId="15" fillId="31" borderId="23" xfId="0" applyFont="1" applyFill="1" applyBorder="1"/>
    <xf numFmtId="0" fontId="15" fillId="31" borderId="0" xfId="0" applyFont="1" applyFill="1" applyBorder="1"/>
    <xf numFmtId="0" fontId="15" fillId="31" borderId="0" xfId="0" applyFont="1" applyFill="1" applyBorder="1" applyAlignment="1">
      <alignment vertical="center"/>
    </xf>
    <xf numFmtId="0" fontId="15" fillId="31" borderId="23" xfId="0" applyFont="1" applyFill="1" applyBorder="1" applyAlignment="1">
      <alignment horizontal="left" vertical="top"/>
    </xf>
    <xf numFmtId="0" fontId="71" fillId="0" borderId="0" xfId="0" applyFont="1" applyFill="1" applyProtection="1"/>
    <xf numFmtId="0" fontId="74" fillId="0" borderId="0" xfId="0" applyFont="1" applyFill="1" applyProtection="1"/>
    <xf numFmtId="0" fontId="7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5" fillId="0" borderId="0" xfId="0" applyFont="1"/>
    <xf numFmtId="0" fontId="10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81" xfId="0" applyFont="1" applyBorder="1"/>
    <xf numFmtId="0" fontId="10" fillId="0" borderId="81" xfId="0" applyFont="1" applyBorder="1"/>
    <xf numFmtId="0" fontId="0" fillId="0" borderId="81" xfId="0" applyBorder="1"/>
    <xf numFmtId="0" fontId="13" fillId="0" borderId="0" xfId="43" applyFont="1"/>
    <xf numFmtId="0" fontId="10" fillId="0" borderId="0" xfId="43"/>
    <xf numFmtId="0" fontId="10" fillId="0" borderId="79" xfId="43" applyBorder="1"/>
    <xf numFmtId="0" fontId="13" fillId="0" borderId="81" xfId="43" applyFont="1" applyBorder="1"/>
    <xf numFmtId="0" fontId="10" fillId="0" borderId="0" xfId="43" applyFont="1"/>
    <xf numFmtId="0" fontId="10" fillId="0" borderId="81" xfId="43" applyFont="1" applyBorder="1"/>
    <xf numFmtId="0" fontId="10" fillId="0" borderId="0" xfId="43" applyFont="1" applyBorder="1"/>
    <xf numFmtId="0" fontId="10" fillId="0" borderId="81" xfId="43" applyBorder="1"/>
    <xf numFmtId="0" fontId="10" fillId="26" borderId="0" xfId="43" applyFont="1" applyFill="1"/>
    <xf numFmtId="0" fontId="10" fillId="26" borderId="0" xfId="43" applyFont="1" applyFill="1" applyBorder="1" applyAlignment="1">
      <alignment horizontal="left"/>
    </xf>
    <xf numFmtId="15" fontId="13" fillId="26" borderId="0" xfId="43" applyNumberFormat="1" applyFont="1" applyFill="1" applyBorder="1" applyAlignment="1">
      <alignment horizontal="left"/>
    </xf>
    <xf numFmtId="0" fontId="10" fillId="26" borderId="0" xfId="43" applyFont="1" applyFill="1" applyBorder="1" applyAlignment="1"/>
    <xf numFmtId="15" fontId="13" fillId="26" borderId="0" xfId="43" applyNumberFormat="1" applyFont="1" applyFill="1" applyBorder="1" applyAlignment="1" applyProtection="1">
      <alignment horizontal="left"/>
      <protection locked="0"/>
    </xf>
    <xf numFmtId="0" fontId="13" fillId="26" borderId="0" xfId="43" applyFont="1" applyFill="1" applyBorder="1" applyAlignment="1">
      <alignment horizontal="left"/>
    </xf>
    <xf numFmtId="0" fontId="13" fillId="26" borderId="0" xfId="43" applyFont="1" applyFill="1" applyBorder="1" applyAlignment="1" applyProtection="1">
      <alignment horizontal="left"/>
      <protection locked="0"/>
    </xf>
    <xf numFmtId="0" fontId="10" fillId="26" borderId="0" xfId="43" applyFont="1" applyFill="1" applyBorder="1"/>
    <xf numFmtId="1" fontId="13" fillId="26" borderId="0" xfId="43" applyNumberFormat="1" applyFont="1" applyFill="1" applyBorder="1" applyAlignment="1">
      <alignment horizontal="left"/>
    </xf>
    <xf numFmtId="0" fontId="10" fillId="0" borderId="0" xfId="43" applyFont="1" applyFill="1"/>
    <xf numFmtId="0" fontId="10" fillId="0" borderId="0" xfId="43" applyFill="1"/>
    <xf numFmtId="0" fontId="71" fillId="0" borderId="0" xfId="43" applyFont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9" xfId="0" applyBorder="1" applyProtection="1">
      <protection locked="0"/>
    </xf>
    <xf numFmtId="0" fontId="10" fillId="0" borderId="0" xfId="43" applyProtection="1">
      <protection locked="0"/>
    </xf>
    <xf numFmtId="0" fontId="10" fillId="0" borderId="79" xfId="43" applyBorder="1" applyProtection="1">
      <protection locked="0"/>
    </xf>
    <xf numFmtId="0" fontId="10" fillId="0" borderId="0" xfId="43" applyFont="1" applyFill="1" applyAlignment="1">
      <alignment horizontal="left" vertical="top"/>
    </xf>
    <xf numFmtId="0" fontId="10" fillId="0" borderId="0" xfId="43" applyBorder="1"/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0" fillId="26" borderId="0" xfId="43" applyFont="1" applyFill="1" applyProtection="1">
      <protection locked="0"/>
    </xf>
    <xf numFmtId="0" fontId="22" fillId="29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4" fillId="26" borderId="0" xfId="0" applyFont="1" applyFill="1" applyProtection="1">
      <protection locked="0"/>
    </xf>
    <xf numFmtId="0" fontId="22" fillId="26" borderId="0" xfId="0" applyFont="1" applyFill="1" applyProtection="1">
      <protection locked="0"/>
    </xf>
    <xf numFmtId="0" fontId="13" fillId="0" borderId="0" xfId="0" applyFont="1" applyProtection="1">
      <protection locked="0"/>
    </xf>
    <xf numFmtId="0" fontId="22" fillId="26" borderId="0" xfId="0" applyFont="1" applyFill="1" applyBorder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0" fillId="3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4" fillId="27" borderId="0" xfId="0" applyFont="1" applyFill="1" applyProtection="1">
      <protection locked="0"/>
    </xf>
    <xf numFmtId="0" fontId="22" fillId="0" borderId="0" xfId="0" applyFont="1" applyFill="1" applyBorder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3" fillId="0" borderId="32" xfId="42" applyFont="1" applyFill="1" applyBorder="1" applyProtection="1">
      <protection locked="0"/>
    </xf>
    <xf numFmtId="0" fontId="62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0" fillId="30" borderId="0" xfId="42" applyFill="1" applyBorder="1" applyProtection="1">
      <protection locked="0"/>
    </xf>
    <xf numFmtId="0" fontId="10" fillId="0" borderId="0" xfId="43" applyFont="1" applyFill="1" applyAlignment="1">
      <alignment vertical="top" wrapText="1"/>
    </xf>
    <xf numFmtId="0" fontId="76" fillId="30" borderId="0" xfId="42" applyFont="1" applyFill="1"/>
    <xf numFmtId="0" fontId="10" fillId="0" borderId="0" xfId="0" applyFont="1" applyFill="1" applyBorder="1" applyProtection="1"/>
    <xf numFmtId="0" fontId="21" fillId="0" borderId="7" xfId="0" applyFont="1" applyFill="1" applyBorder="1"/>
    <xf numFmtId="0" fontId="10" fillId="0" borderId="0" xfId="44" applyFont="1"/>
    <xf numFmtId="0" fontId="77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81" xfId="42" applyBorder="1"/>
    <xf numFmtId="0" fontId="10" fillId="0" borderId="79" xfId="42" applyBorder="1"/>
    <xf numFmtId="0" fontId="10" fillId="0" borderId="0" xfId="43" applyBorder="1" applyAlignment="1">
      <alignment vertical="top"/>
    </xf>
    <xf numFmtId="0" fontId="10" fillId="0" borderId="0" xfId="43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43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7" fillId="0" borderId="0" xfId="0" applyFont="1"/>
    <xf numFmtId="0" fontId="71" fillId="0" borderId="0" xfId="0" applyFont="1" applyFill="1"/>
    <xf numFmtId="0" fontId="78" fillId="0" borderId="0" xfId="0" applyFont="1" applyFill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7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80" fillId="0" borderId="0" xfId="42" applyNumberFormat="1" applyFont="1" applyFill="1"/>
    <xf numFmtId="0" fontId="80" fillId="0" borderId="0" xfId="42" applyFont="1" applyProtection="1">
      <protection locked="0"/>
    </xf>
    <xf numFmtId="0" fontId="80" fillId="0" borderId="0" xfId="42" applyFont="1" applyFill="1" applyAlignment="1">
      <alignment horizontal="right"/>
    </xf>
    <xf numFmtId="167" fontId="80" fillId="0" borderId="0" xfId="42" applyNumberFormat="1" applyFont="1"/>
    <xf numFmtId="2" fontId="80" fillId="0" borderId="0" xfId="42" applyNumberFormat="1" applyFont="1"/>
    <xf numFmtId="169" fontId="10" fillId="0" borderId="0" xfId="42" applyNumberFormat="1" applyFill="1"/>
    <xf numFmtId="0" fontId="13" fillId="0" borderId="0" xfId="42" applyFont="1"/>
    <xf numFmtId="0" fontId="80" fillId="0" borderId="0" xfId="42" applyFont="1"/>
    <xf numFmtId="0" fontId="80" fillId="0" borderId="0" xfId="42" applyFont="1" applyFill="1"/>
    <xf numFmtId="0" fontId="22" fillId="0" borderId="0" xfId="0" applyFont="1" applyFill="1" applyBorder="1" applyAlignment="1">
      <alignment shrinkToFit="1"/>
    </xf>
    <xf numFmtId="0" fontId="71" fillId="0" borderId="0" xfId="0" applyFont="1" applyFill="1" applyBorder="1"/>
    <xf numFmtId="0" fontId="78" fillId="0" borderId="0" xfId="0" applyFont="1" applyFill="1" applyBorder="1" applyAlignment="1">
      <alignment shrinkToFit="1"/>
    </xf>
    <xf numFmtId="0" fontId="22" fillId="0" borderId="0" xfId="0" applyNumberFormat="1" applyFont="1" applyFill="1" applyBorder="1" applyAlignment="1"/>
    <xf numFmtId="0" fontId="22" fillId="0" borderId="0" xfId="0" applyFont="1" applyFill="1" applyBorder="1" applyAlignment="1" applyProtection="1">
      <alignment horizontal="left"/>
      <protection locked="0"/>
    </xf>
    <xf numFmtId="0" fontId="10" fillId="0" borderId="0" xfId="42"/>
    <xf numFmtId="0" fontId="13" fillId="0" borderId="0" xfId="42" applyFont="1" applyAlignment="1">
      <alignment wrapText="1"/>
    </xf>
    <xf numFmtId="0" fontId="5" fillId="0" borderId="0" xfId="131" applyFont="1"/>
    <xf numFmtId="0" fontId="79" fillId="0" borderId="0" xfId="131" applyFont="1"/>
    <xf numFmtId="0" fontId="81" fillId="0" borderId="0" xfId="42" applyFont="1" applyFill="1"/>
    <xf numFmtId="0" fontId="0" fillId="0" borderId="0" xfId="132" applyFont="1"/>
    <xf numFmtId="0" fontId="80" fillId="0" borderId="0" xfId="132" applyFont="1"/>
    <xf numFmtId="167" fontId="80" fillId="0" borderId="0" xfId="132" applyNumberFormat="1" applyFont="1"/>
    <xf numFmtId="0" fontId="81" fillId="0" borderId="0" xfId="132" applyFont="1" applyFill="1"/>
    <xf numFmtId="1" fontId="80" fillId="0" borderId="0" xfId="42" applyNumberFormat="1" applyFont="1"/>
    <xf numFmtId="1" fontId="81" fillId="0" borderId="0" xfId="42" applyNumberFormat="1" applyFont="1" applyFill="1"/>
    <xf numFmtId="0" fontId="80" fillId="0" borderId="0" xfId="132" applyFont="1" applyFill="1"/>
    <xf numFmtId="0" fontId="80" fillId="0" borderId="0" xfId="131" applyFont="1" applyFill="1"/>
    <xf numFmtId="0" fontId="81" fillId="0" borderId="0" xfId="131" applyFont="1" applyFill="1"/>
    <xf numFmtId="167" fontId="80" fillId="0" borderId="0" xfId="132" applyNumberFormat="1" applyFont="1" applyFill="1"/>
    <xf numFmtId="167" fontId="80" fillId="0" borderId="0" xfId="132" applyNumberFormat="1" applyFont="1" applyFill="1" applyAlignment="1">
      <alignment horizontal="right"/>
    </xf>
    <xf numFmtId="0" fontId="80" fillId="0" borderId="0" xfId="132" applyFont="1" applyFill="1" applyAlignment="1">
      <alignment horizontal="right"/>
    </xf>
    <xf numFmtId="0" fontId="81" fillId="0" borderId="0" xfId="132" applyFont="1" applyFill="1" applyAlignment="1">
      <alignment horizontal="right"/>
    </xf>
    <xf numFmtId="0" fontId="81" fillId="0" borderId="0" xfId="132" applyFont="1"/>
    <xf numFmtId="167" fontId="80" fillId="0" borderId="0" xfId="132" applyNumberFormat="1" applyFont="1" applyAlignment="1">
      <alignment horizontal="right"/>
    </xf>
    <xf numFmtId="0" fontId="80" fillId="0" borderId="0" xfId="132" applyFont="1" applyAlignment="1">
      <alignment horizontal="right"/>
    </xf>
    <xf numFmtId="0" fontId="81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82" fillId="0" borderId="0" xfId="96" applyFont="1"/>
    <xf numFmtId="0" fontId="77" fillId="0" borderId="0" xfId="96" applyFont="1"/>
    <xf numFmtId="0" fontId="54" fillId="0" borderId="0" xfId="0" applyFont="1" applyFill="1"/>
    <xf numFmtId="0" fontId="13" fillId="0" borderId="0" xfId="0" applyFont="1" applyAlignment="1"/>
    <xf numFmtId="0" fontId="5" fillId="0" borderId="0" xfId="131" applyFont="1" applyFill="1"/>
    <xf numFmtId="0" fontId="83" fillId="32" borderId="82" xfId="0" applyFont="1" applyFill="1" applyBorder="1"/>
    <xf numFmtId="0" fontId="80" fillId="32" borderId="83" xfId="0" applyFont="1" applyFill="1" applyBorder="1"/>
    <xf numFmtId="0" fontId="80" fillId="32" borderId="84" xfId="0" applyFont="1" applyFill="1" applyBorder="1"/>
    <xf numFmtId="0" fontId="80" fillId="32" borderId="85" xfId="42" applyFont="1" applyFill="1" applyBorder="1"/>
    <xf numFmtId="0" fontId="80" fillId="32" borderId="0" xfId="42" applyFont="1" applyFill="1" applyBorder="1" applyAlignment="1">
      <alignment horizontal="left"/>
    </xf>
    <xf numFmtId="0" fontId="80" fillId="32" borderId="0" xfId="42" applyFont="1" applyFill="1" applyBorder="1"/>
    <xf numFmtId="0" fontId="80" fillId="32" borderId="86" xfId="42" applyFont="1" applyFill="1" applyBorder="1"/>
    <xf numFmtId="0" fontId="80" fillId="32" borderId="85" xfId="42" applyFont="1" applyFill="1" applyBorder="1" applyAlignment="1">
      <alignment horizontal="center"/>
    </xf>
    <xf numFmtId="0" fontId="80" fillId="32" borderId="0" xfId="42" applyFont="1" applyFill="1" applyBorder="1" applyAlignment="1">
      <alignment horizontal="center"/>
    </xf>
    <xf numFmtId="0" fontId="80" fillId="32" borderId="86" xfId="42" applyFont="1" applyFill="1" applyBorder="1" applyAlignment="1">
      <alignment horizontal="center"/>
    </xf>
    <xf numFmtId="0" fontId="80" fillId="32" borderId="87" xfId="42" applyFont="1" applyFill="1" applyBorder="1" applyAlignment="1">
      <alignment horizontal="center"/>
    </xf>
    <xf numFmtId="0" fontId="80" fillId="32" borderId="13" xfId="42" applyFont="1" applyFill="1" applyBorder="1" applyAlignment="1">
      <alignment horizontal="center"/>
    </xf>
    <xf numFmtId="0" fontId="83" fillId="32" borderId="13" xfId="42" applyFont="1" applyFill="1" applyBorder="1"/>
    <xf numFmtId="0" fontId="80" fillId="32" borderId="13" xfId="42" applyFont="1" applyFill="1" applyBorder="1"/>
    <xf numFmtId="0" fontId="80" fillId="32" borderId="88" xfId="0" applyFont="1" applyFill="1" applyBorder="1"/>
    <xf numFmtId="0" fontId="13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4" fillId="0" borderId="0" xfId="0" applyFont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84" fillId="0" borderId="0" xfId="0" applyFont="1" applyFill="1" applyBorder="1"/>
    <xf numFmtId="0" fontId="21" fillId="26" borderId="0" xfId="0" applyFont="1" applyFill="1" applyBorder="1" applyAlignment="1">
      <alignment horizontal="center"/>
    </xf>
    <xf numFmtId="0" fontId="21" fillId="26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6" borderId="0" xfId="0" applyFont="1" applyFill="1" applyBorder="1"/>
    <xf numFmtId="0" fontId="85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6" borderId="23" xfId="0" applyFont="1" applyFill="1" applyBorder="1" applyAlignment="1">
      <alignment horizontal="center"/>
    </xf>
    <xf numFmtId="0" fontId="21" fillId="26" borderId="23" xfId="0" applyFont="1" applyFill="1" applyBorder="1"/>
    <xf numFmtId="0" fontId="21" fillId="26" borderId="0" xfId="0" applyFont="1" applyFill="1" applyBorder="1" applyAlignment="1">
      <alignment horizontal="left" vertical="top"/>
    </xf>
    <xf numFmtId="0" fontId="21" fillId="26" borderId="23" xfId="0" applyFont="1" applyFill="1" applyBorder="1" applyAlignment="1">
      <alignment horizontal="left" vertical="top"/>
    </xf>
    <xf numFmtId="0" fontId="86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6" borderId="11" xfId="0" applyFont="1" applyFill="1" applyBorder="1"/>
    <xf numFmtId="0" fontId="21" fillId="0" borderId="11" xfId="0" applyFont="1" applyFill="1" applyBorder="1"/>
    <xf numFmtId="0" fontId="21" fillId="26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86" fillId="0" borderId="0" xfId="0" applyFont="1" applyFill="1" applyBorder="1"/>
    <xf numFmtId="0" fontId="24" fillId="26" borderId="23" xfId="0" applyFont="1" applyFill="1" applyBorder="1"/>
    <xf numFmtId="0" fontId="24" fillId="26" borderId="23" xfId="0" applyFont="1" applyFill="1" applyBorder="1" applyAlignment="1">
      <alignment horizontal="left"/>
    </xf>
    <xf numFmtId="0" fontId="21" fillId="26" borderId="23" xfId="0" applyFont="1" applyFill="1" applyBorder="1" applyAlignment="1">
      <alignment horizontal="right"/>
    </xf>
    <xf numFmtId="0" fontId="24" fillId="0" borderId="0" xfId="0" applyFont="1" applyFill="1" applyBorder="1"/>
    <xf numFmtId="0" fontId="21" fillId="0" borderId="27" xfId="0" applyFont="1" applyFill="1" applyBorder="1"/>
    <xf numFmtId="0" fontId="21" fillId="0" borderId="28" xfId="0" applyFont="1" applyFill="1" applyBorder="1"/>
    <xf numFmtId="0" fontId="21" fillId="0" borderId="29" xfId="0" applyFont="1" applyFill="1" applyBorder="1" applyAlignment="1">
      <alignment horizontal="center"/>
    </xf>
    <xf numFmtId="0" fontId="21" fillId="0" borderId="27" xfId="0" applyFont="1" applyFill="1" applyBorder="1" applyAlignment="1">
      <alignment horizontal="center"/>
    </xf>
    <xf numFmtId="0" fontId="21" fillId="0" borderId="29" xfId="0" applyFont="1" applyFill="1" applyBorder="1"/>
    <xf numFmtId="0" fontId="21" fillId="0" borderId="48" xfId="0" applyFont="1" applyFill="1" applyBorder="1"/>
    <xf numFmtId="0" fontId="21" fillId="0" borderId="48" xfId="0" applyFont="1" applyFill="1" applyBorder="1" applyAlignment="1">
      <alignment horizontal="center"/>
    </xf>
    <xf numFmtId="0" fontId="79" fillId="35" borderId="0" xfId="131" applyFont="1" applyFill="1"/>
    <xf numFmtId="0" fontId="13" fillId="36" borderId="0" xfId="42" applyFont="1" applyFill="1"/>
    <xf numFmtId="0" fontId="10" fillId="37" borderId="0" xfId="42" applyFill="1" applyProtection="1">
      <protection locked="0"/>
    </xf>
    <xf numFmtId="0" fontId="65" fillId="37" borderId="0" xfId="42" applyFont="1" applyFill="1" applyAlignment="1">
      <alignment horizontal="left"/>
    </xf>
    <xf numFmtId="0" fontId="10" fillId="37" borderId="0" xfId="42" applyFill="1"/>
    <xf numFmtId="0" fontId="57" fillId="37" borderId="0" xfId="42" applyFont="1" applyFill="1"/>
    <xf numFmtId="0" fontId="18" fillId="37" borderId="0" xfId="42" applyFont="1" applyFill="1"/>
    <xf numFmtId="0" fontId="21" fillId="37" borderId="0" xfId="42" applyFont="1" applyFill="1"/>
    <xf numFmtId="0" fontId="10" fillId="37" borderId="72" xfId="42" applyFill="1" applyBorder="1"/>
    <xf numFmtId="0" fontId="18" fillId="37" borderId="72" xfId="42" applyFont="1" applyFill="1" applyBorder="1"/>
    <xf numFmtId="0" fontId="21" fillId="37" borderId="72" xfId="42" applyFont="1" applyFill="1" applyBorder="1"/>
    <xf numFmtId="0" fontId="10" fillId="37" borderId="0" xfId="42" applyFill="1" applyBorder="1" applyProtection="1">
      <protection locked="0"/>
    </xf>
    <xf numFmtId="0" fontId="18" fillId="37" borderId="0" xfId="42" applyFont="1" applyFill="1" applyBorder="1"/>
    <xf numFmtId="0" fontId="21" fillId="37" borderId="0" xfId="42" applyFont="1" applyFill="1" applyBorder="1"/>
    <xf numFmtId="0" fontId="10" fillId="37" borderId="0" xfId="42" applyFill="1" applyBorder="1"/>
    <xf numFmtId="0" fontId="10" fillId="37" borderId="0" xfId="42" applyFill="1" applyAlignment="1">
      <alignment horizontal="right"/>
    </xf>
    <xf numFmtId="0" fontId="10" fillId="37" borderId="0" xfId="42" applyFill="1" applyAlignment="1">
      <alignment horizontal="center"/>
    </xf>
    <xf numFmtId="0" fontId="10" fillId="37" borderId="0" xfId="42" applyFill="1" applyAlignment="1">
      <alignment horizontal="left"/>
    </xf>
    <xf numFmtId="0" fontId="18" fillId="37" borderId="73" xfId="42" applyFont="1" applyFill="1" applyBorder="1"/>
    <xf numFmtId="0" fontId="10" fillId="37" borderId="73" xfId="42" applyFill="1" applyBorder="1"/>
    <xf numFmtId="0" fontId="67" fillId="37" borderId="0" xfId="42" applyFont="1" applyFill="1"/>
    <xf numFmtId="0" fontId="13" fillId="37" borderId="0" xfId="42" applyFont="1" applyFill="1" applyAlignment="1">
      <alignment horizontal="left"/>
    </xf>
    <xf numFmtId="0" fontId="13" fillId="37" borderId="0" xfId="42" applyFont="1" applyFill="1"/>
    <xf numFmtId="0" fontId="68" fillId="37" borderId="74" xfId="42" applyFont="1" applyFill="1" applyBorder="1" applyAlignment="1">
      <alignment horizontal="left"/>
    </xf>
    <xf numFmtId="0" fontId="10" fillId="37" borderId="74" xfId="42" applyFill="1" applyBorder="1"/>
    <xf numFmtId="0" fontId="68" fillId="37" borderId="0" xfId="42" applyFont="1" applyFill="1" applyBorder="1" applyAlignment="1">
      <alignment horizontal="left"/>
    </xf>
    <xf numFmtId="0" fontId="33" fillId="37" borderId="0" xfId="42" applyFont="1" applyFill="1"/>
    <xf numFmtId="0" fontId="33" fillId="37" borderId="0" xfId="42" applyFont="1" applyFill="1" applyAlignment="1">
      <alignment horizontal="right"/>
    </xf>
    <xf numFmtId="0" fontId="76" fillId="37" borderId="0" xfId="42" applyFont="1" applyFill="1"/>
    <xf numFmtId="0" fontId="10" fillId="37" borderId="23" xfId="42" applyFill="1" applyBorder="1"/>
    <xf numFmtId="0" fontId="33" fillId="37" borderId="23" xfId="42" applyFont="1" applyFill="1" applyBorder="1"/>
    <xf numFmtId="0" fontId="67" fillId="37" borderId="0" xfId="42" applyFont="1" applyFill="1" applyAlignment="1">
      <alignment horizontal="center"/>
    </xf>
    <xf numFmtId="0" fontId="68" fillId="37" borderId="0" xfId="42" applyFont="1" applyFill="1"/>
    <xf numFmtId="0" fontId="10" fillId="37" borderId="0" xfId="42" applyFill="1" applyBorder="1" applyAlignment="1">
      <alignment horizontal="left"/>
    </xf>
    <xf numFmtId="0" fontId="69" fillId="37" borderId="0" xfId="42" applyFont="1" applyFill="1" applyBorder="1"/>
    <xf numFmtId="0" fontId="10" fillId="37" borderId="76" xfId="42" applyFill="1" applyBorder="1"/>
    <xf numFmtId="0" fontId="10" fillId="37" borderId="76" xfId="42" applyFill="1" applyBorder="1" applyAlignment="1">
      <alignment horizontal="right"/>
    </xf>
    <xf numFmtId="0" fontId="10" fillId="37" borderId="76" xfId="42" applyFill="1" applyBorder="1" applyAlignment="1">
      <alignment horizontal="left"/>
    </xf>
    <xf numFmtId="49" fontId="32" fillId="37" borderId="74" xfId="42" applyNumberFormat="1" applyFont="1" applyFill="1" applyBorder="1"/>
    <xf numFmtId="0" fontId="10" fillId="37" borderId="74" xfId="42" applyFill="1" applyBorder="1" applyAlignment="1">
      <alignment horizontal="left"/>
    </xf>
    <xf numFmtId="0" fontId="10" fillId="37" borderId="77" xfId="42" applyFill="1" applyBorder="1"/>
    <xf numFmtId="0" fontId="10" fillId="37" borderId="77" xfId="42" applyFill="1" applyBorder="1" applyAlignment="1">
      <alignment horizontal="right"/>
    </xf>
    <xf numFmtId="0" fontId="10" fillId="37" borderId="77" xfId="42" applyFill="1" applyBorder="1" applyAlignment="1">
      <alignment horizontal="left"/>
    </xf>
    <xf numFmtId="0" fontId="10" fillId="37" borderId="75" xfId="42" applyFill="1" applyBorder="1"/>
    <xf numFmtId="0" fontId="68" fillId="37" borderId="75" xfId="42" applyFont="1" applyFill="1" applyBorder="1" applyAlignment="1">
      <alignment horizontal="left"/>
    </xf>
    <xf numFmtId="49" fontId="32" fillId="37" borderId="75" xfId="42" applyNumberFormat="1" applyFont="1" applyFill="1" applyBorder="1"/>
    <xf numFmtId="0" fontId="10" fillId="37" borderId="75" xfId="42" applyFill="1" applyBorder="1" applyAlignment="1">
      <alignment horizontal="left"/>
    </xf>
    <xf numFmtId="0" fontId="10" fillId="37" borderId="48" xfId="42" applyFill="1" applyBorder="1"/>
    <xf numFmtId="0" fontId="10" fillId="37" borderId="48" xfId="42" applyFill="1" applyBorder="1" applyAlignment="1">
      <alignment horizontal="right"/>
    </xf>
    <xf numFmtId="0" fontId="68" fillId="37" borderId="78" xfId="42" applyFont="1" applyFill="1" applyBorder="1" applyAlignment="1">
      <alignment horizontal="left"/>
    </xf>
    <xf numFmtId="49" fontId="32" fillId="37" borderId="78" xfId="42" applyNumberFormat="1" applyFont="1" applyFill="1" applyBorder="1"/>
    <xf numFmtId="0" fontId="10" fillId="37" borderId="78" xfId="42" applyFill="1" applyBorder="1" applyAlignment="1">
      <alignment horizontal="left"/>
    </xf>
    <xf numFmtId="0" fontId="18" fillId="37" borderId="76" xfId="42" applyFont="1" applyFill="1" applyBorder="1" applyAlignment="1">
      <alignment horizontal="left"/>
    </xf>
    <xf numFmtId="0" fontId="10" fillId="37" borderId="0" xfId="42" applyFill="1" applyBorder="1" applyAlignment="1">
      <alignment horizontal="right"/>
    </xf>
    <xf numFmtId="49" fontId="32" fillId="37" borderId="0" xfId="42" applyNumberFormat="1" applyFont="1" applyFill="1" applyBorder="1"/>
    <xf numFmtId="0" fontId="67" fillId="37" borderId="0" xfId="42" applyFont="1" applyFill="1" applyBorder="1"/>
    <xf numFmtId="0" fontId="10" fillId="37" borderId="73" xfId="42" applyFill="1" applyBorder="1" applyAlignment="1">
      <alignment horizontal="right"/>
    </xf>
    <xf numFmtId="0" fontId="10" fillId="37" borderId="73" xfId="42" applyFill="1" applyBorder="1" applyAlignment="1">
      <alignment horizontal="left"/>
    </xf>
    <xf numFmtId="0" fontId="16" fillId="37" borderId="0" xfId="42" applyFont="1" applyFill="1"/>
    <xf numFmtId="0" fontId="18" fillId="37" borderId="74" xfId="42" applyFont="1" applyFill="1" applyBorder="1"/>
    <xf numFmtId="0" fontId="18" fillId="37" borderId="75" xfId="42" applyFont="1" applyFill="1" applyBorder="1"/>
    <xf numFmtId="0" fontId="10" fillId="37" borderId="75" xfId="42" applyFill="1" applyBorder="1" applyAlignment="1">
      <alignment horizontal="right"/>
    </xf>
    <xf numFmtId="0" fontId="10" fillId="37" borderId="75" xfId="42" applyFill="1" applyBorder="1" applyAlignment="1">
      <alignment horizontal="center"/>
    </xf>
    <xf numFmtId="0" fontId="10" fillId="0" borderId="0" xfId="42"/>
    <xf numFmtId="0" fontId="10" fillId="0" borderId="0" xfId="42"/>
    <xf numFmtId="15" fontId="13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9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38" borderId="0" xfId="42" applyFont="1" applyFill="1"/>
    <xf numFmtId="0" fontId="10" fillId="38" borderId="0" xfId="42" applyFont="1" applyFill="1"/>
    <xf numFmtId="0" fontId="13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0" fillId="39" borderId="0" xfId="0" applyFill="1"/>
    <xf numFmtId="0" fontId="13" fillId="0" borderId="89" xfId="0" applyFont="1" applyFill="1" applyBorder="1" applyProtection="1"/>
    <xf numFmtId="0" fontId="10" fillId="0" borderId="40" xfId="42" applyFont="1" applyFill="1" applyBorder="1" applyProtection="1"/>
    <xf numFmtId="0" fontId="10" fillId="26" borderId="0" xfId="42" applyFont="1" applyFill="1" applyBorder="1"/>
    <xf numFmtId="0" fontId="13" fillId="0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53" fillId="0" borderId="40" xfId="42" applyFont="1" applyFill="1" applyBorder="1" applyProtection="1"/>
    <xf numFmtId="0" fontId="10" fillId="26" borderId="0" xfId="42" applyFont="1" applyFill="1" applyBorder="1" applyAlignment="1">
      <alignment vertical="top" wrapText="1"/>
    </xf>
    <xf numFmtId="0" fontId="53" fillId="0" borderId="39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3" fillId="0" borderId="0" xfId="42" applyFont="1" applyFill="1" applyBorder="1" applyProtection="1"/>
    <xf numFmtId="0" fontId="10" fillId="0" borderId="90" xfId="42" applyFont="1" applyFill="1" applyBorder="1" applyProtection="1"/>
    <xf numFmtId="0" fontId="10" fillId="26" borderId="0" xfId="42" applyFont="1" applyFill="1" applyBorder="1" applyProtection="1"/>
    <xf numFmtId="0" fontId="18" fillId="25" borderId="0" xfId="42" applyFont="1" applyFill="1" applyBorder="1" applyProtection="1"/>
    <xf numFmtId="0" fontId="10" fillId="26" borderId="0" xfId="42" applyFont="1" applyFill="1" applyBorder="1"/>
    <xf numFmtId="0" fontId="18" fillId="25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14" fillId="0" borderId="0" xfId="42" applyFont="1" applyFill="1" applyProtection="1"/>
    <xf numFmtId="0" fontId="53" fillId="0" borderId="39" xfId="42" applyFont="1" applyFill="1" applyBorder="1" applyProtection="1"/>
    <xf numFmtId="0" fontId="53" fillId="0" borderId="0" xfId="42" applyFont="1" applyFill="1" applyBorder="1" applyProtection="1"/>
    <xf numFmtId="0" fontId="53" fillId="0" borderId="40" xfId="42" applyFont="1" applyFill="1" applyBorder="1" applyProtection="1"/>
    <xf numFmtId="0" fontId="53" fillId="0" borderId="0" xfId="42" applyFont="1" applyFill="1" applyProtection="1"/>
    <xf numFmtId="0" fontId="71" fillId="0" borderId="0" xfId="42" applyFont="1" applyFill="1" applyProtection="1"/>
    <xf numFmtId="0" fontId="75" fillId="0" borderId="0" xfId="42" applyFont="1"/>
    <xf numFmtId="0" fontId="13" fillId="0" borderId="89" xfId="42" applyFont="1" applyFill="1" applyBorder="1" applyProtection="1"/>
    <xf numFmtId="0" fontId="10" fillId="40" borderId="0" xfId="42" applyFill="1" applyProtection="1">
      <protection locked="0"/>
    </xf>
    <xf numFmtId="0" fontId="10" fillId="40" borderId="0" xfId="42" applyFill="1"/>
    <xf numFmtId="0" fontId="10" fillId="41" borderId="0" xfId="42" applyFill="1" applyProtection="1">
      <protection locked="0"/>
    </xf>
    <xf numFmtId="0" fontId="10" fillId="0" borderId="0" xfId="42" applyAlignment="1">
      <alignment horizontal="left"/>
    </xf>
    <xf numFmtId="49" fontId="13" fillId="29" borderId="0" xfId="0" applyNumberFormat="1" applyFont="1" applyFill="1" applyBorder="1" applyAlignment="1">
      <alignment horizontal="left"/>
    </xf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Fill="1" applyAlignment="1"/>
    <xf numFmtId="0" fontId="14" fillId="27" borderId="0" xfId="0" applyFont="1" applyFill="1" applyBorder="1" applyAlignment="1"/>
    <xf numFmtId="0" fontId="35" fillId="0" borderId="0" xfId="0" applyFont="1" applyFill="1" applyBorder="1" applyAlignment="1">
      <alignment horizontal="center" vertical="top"/>
    </xf>
    <xf numFmtId="0" fontId="10" fillId="0" borderId="0" xfId="43" applyBorder="1" applyAlignment="1">
      <alignment horizontal="left" vertical="top"/>
    </xf>
    <xf numFmtId="0" fontId="22" fillId="26" borderId="0" xfId="0" applyFont="1" applyFill="1" applyBorder="1" applyAlignment="1">
      <alignment vertical="top" wrapText="1"/>
    </xf>
    <xf numFmtId="0" fontId="22" fillId="26" borderId="0" xfId="0" applyFont="1" applyFill="1" applyBorder="1" applyAlignment="1">
      <alignment horizontal="left" vertical="top" wrapText="1"/>
    </xf>
    <xf numFmtId="0" fontId="22" fillId="26" borderId="0" xfId="0" applyFont="1" applyFill="1" applyBorder="1" applyAlignment="1">
      <alignment wrapText="1"/>
    </xf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40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1" fillId="0" borderId="28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2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27" fillId="0" borderId="10" xfId="0" applyFont="1" applyBorder="1" applyAlignment="1">
      <alignment vertical="top" wrapText="1"/>
    </xf>
    <xf numFmtId="0" fontId="27" fillId="0" borderId="11" xfId="0" applyFont="1" applyBorder="1" applyAlignment="1">
      <alignment vertical="top" wrapText="1"/>
    </xf>
    <xf numFmtId="0" fontId="27" fillId="0" borderId="12" xfId="0" applyFont="1" applyBorder="1" applyAlignment="1">
      <alignment vertical="top" wrapText="1"/>
    </xf>
    <xf numFmtId="0" fontId="22" fillId="0" borderId="30" xfId="0" applyFont="1" applyBorder="1" applyAlignment="1">
      <alignment horizontal="center" vertical="top" wrapText="1"/>
    </xf>
    <xf numFmtId="0" fontId="22" fillId="0" borderId="31" xfId="0" applyFont="1" applyBorder="1" applyAlignment="1">
      <alignment horizontal="center" vertical="top" wrapText="1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7" fillId="0" borderId="50" xfId="0" applyFont="1" applyBorder="1" applyAlignment="1">
      <alignment horizontal="center" vertical="top" wrapText="1"/>
    </xf>
    <xf numFmtId="0" fontId="27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right" vertical="top" wrapText="1"/>
    </xf>
    <xf numFmtId="0" fontId="27" fillId="0" borderId="51" xfId="0" applyFont="1" applyBorder="1" applyAlignment="1">
      <alignment vertical="top" wrapText="1"/>
    </xf>
    <xf numFmtId="0" fontId="27" fillId="0" borderId="52" xfId="0" applyFont="1" applyBorder="1" applyAlignment="1">
      <alignment vertical="top" wrapText="1"/>
    </xf>
    <xf numFmtId="0" fontId="27" fillId="0" borderId="20" xfId="0" applyFont="1" applyBorder="1" applyAlignment="1">
      <alignment vertical="top" wrapText="1"/>
    </xf>
    <xf numFmtId="0" fontId="22" fillId="0" borderId="51" xfId="0" applyFont="1" applyBorder="1" applyAlignment="1">
      <alignment horizontal="center" vertical="top" wrapText="1"/>
    </xf>
    <xf numFmtId="0" fontId="22" fillId="0" borderId="52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3" fillId="0" borderId="51" xfId="0" applyFont="1" applyBorder="1" applyAlignment="1">
      <alignment vertical="top" wrapText="1"/>
    </xf>
    <xf numFmtId="0" fontId="23" fillId="0" borderId="52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88" fillId="31" borderId="0" xfId="42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top" wrapText="1"/>
    </xf>
    <xf numFmtId="0" fontId="15" fillId="0" borderId="23" xfId="0" applyFont="1" applyFill="1" applyBorder="1" applyAlignment="1">
      <alignment horizontal="left" vertical="top" wrapText="1"/>
    </xf>
    <xf numFmtId="15" fontId="13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66" xfId="42" applyFill="1" applyBorder="1" applyAlignment="1">
      <alignment horizontal="left" wrapText="1"/>
    </xf>
    <xf numFmtId="0" fontId="10" fillId="0" borderId="67" xfId="42" applyFill="1" applyBorder="1" applyAlignment="1">
      <alignment horizontal="left" wrapText="1"/>
    </xf>
    <xf numFmtId="0" fontId="88" fillId="37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3" fillId="0" borderId="0" xfId="42" applyFont="1" applyAlignment="1">
      <alignment wrapText="1"/>
    </xf>
    <xf numFmtId="0" fontId="13" fillId="36" borderId="0" xfId="42" applyFont="1" applyFill="1" applyAlignment="1">
      <alignment horizontal="center"/>
    </xf>
    <xf numFmtId="0" fontId="13" fillId="33" borderId="0" xfId="42" applyFont="1" applyFill="1" applyAlignment="1">
      <alignment horizontal="center"/>
    </xf>
    <xf numFmtId="0" fontId="13" fillId="34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3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5" fontId="13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  <xf numFmtId="14" fontId="21" fillId="0" borderId="0" xfId="42" applyNumberFormat="1" applyFont="1" applyAlignment="1">
      <alignment horizontal="left"/>
    </xf>
    <xf numFmtId="0" fontId="10" fillId="0" borderId="0" xfId="42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40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attachedToolbars" Target="attachedToolbars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Drop" dropStyle="combo" dx="16" fmlaLink="PedBerMedIV!$B$3" fmlaRange="tblMedicationContIV" sel="1" val="2"/>
</file>

<file path=xl/ctrlProps/ctrlProp2.xml><?xml version="1.0" encoding="utf-8"?>
<formControlPr xmlns="http://schemas.microsoft.com/office/spreadsheetml/2009/9/main" objectType="Drop" dropStyle="combo" dx="16" fmlaLink="PedBerMedIV!$B$4" fmlaRange="tblMedicationContIV" sel="1" val="0"/>
</file>

<file path=xl/ctrlProps/ctrlProp3.xml><?xml version="1.0" encoding="utf-8"?>
<formControlPr xmlns="http://schemas.microsoft.com/office/spreadsheetml/2009/9/main" objectType="Drop" dropStyle="combo" dx="16" fmlaLink="PedBerMedIV!$B$5" fmlaRange="tblMedicationContIV" sel="1" val="0"/>
</file>

<file path=xl/ctrlProps/ctrlProp4.xml><?xml version="1.0" encoding="utf-8"?>
<formControlPr xmlns="http://schemas.microsoft.com/office/spreadsheetml/2009/9/main" objectType="Drop" dropStyle="combo" dx="16" fmlaLink="PedBerMedIV!$B$6" fmlaRange="tblMedicationContIV" sel="1" val="0"/>
</file>

<file path=xl/ctrlProps/ctrlProp5.xml><?xml version="1.0" encoding="utf-8"?>
<formControlPr xmlns="http://schemas.microsoft.com/office/spreadsheetml/2009/9/main" objectType="Drop" dropStyle="combo" dx="16" fmlaLink="PedBerMedIV!$B$7" fmlaRange="tblMedicationContIV" sel="1" val="0"/>
</file>

<file path=xl/ctrlProps/ctrlProp6.xml><?xml version="1.0" encoding="utf-8"?>
<formControlPr xmlns="http://schemas.microsoft.com/office/spreadsheetml/2009/9/main" objectType="Drop" dropStyle="combo" dx="16" fmlaLink="PedBerMedIV!$B$8" fmlaRange="tblMedicationContIV" sel="1" val="0"/>
</file>

<file path=xl/ctrlProps/ctrlProp7.xml><?xml version="1.0" encoding="utf-8"?>
<formControlPr xmlns="http://schemas.microsoft.com/office/spreadsheetml/2009/9/main" objectType="Drop" dropStyle="combo" dx="16" fmlaLink="PedBerMedIV!$B$9" fmlaRange="tblMedicationContIV" sel="1" val="0"/>
</file>

<file path=xl/ctrlProps/ctrlProp8.xml><?xml version="1.0" encoding="utf-8"?>
<formControlPr xmlns="http://schemas.microsoft.com/office/spreadsheetml/2009/9/main" objectType="Drop" dropStyle="combo" dx="16" fmlaLink="PedBerMedIV!$B$10" fmlaRange="tblMedicationContIV" sel="1" val="0"/>
</file>

<file path=xl/ctrlProps/ctrlProp9.xml><?xml version="1.0" encoding="utf-8"?>
<formControlPr xmlns="http://schemas.microsoft.com/office/spreadsheetml/2009/9/main" objectType="Drop" dropStyle="combo" dx="16" fmlaLink="PedBerMedIV!$B$11" fmlaRange="tblMedicationContIV" sel="1" val="0"/>
</file>

<file path=xl/ctrlProps/ctrlProp10.xml><?xml version="1.0" encoding="utf-8"?>
<formControlPr xmlns="http://schemas.microsoft.com/office/spreadsheetml/2009/9/main" objectType="Drop" dropStyle="combo" dx="16" fmlaLink="PedBerMedIV!$I$3" fmlaRange="tblOplossing" sel="1" val="0"/>
</file>

<file path=xl/ctrlProps/ctrlProp11.xml><?xml version="1.0" encoding="utf-8"?>
<formControlPr xmlns="http://schemas.microsoft.com/office/spreadsheetml/2009/9/main" objectType="Drop" dropStyle="combo" dx="16" fmlaLink="PedBerMedIV!$I$4" fmlaRange="tblOplossing" sel="1" val="0"/>
</file>

<file path=xl/ctrlProps/ctrlProp12.xml><?xml version="1.0" encoding="utf-8"?>
<formControlPr xmlns="http://schemas.microsoft.com/office/spreadsheetml/2009/9/main" objectType="Drop" dropStyle="combo" dx="16" fmlaLink="PedBerMedIV!$I$5" fmlaRange="tblOplossing" sel="1" val="0"/>
</file>

<file path=xl/ctrlProps/ctrlProp13.xml><?xml version="1.0" encoding="utf-8"?>
<formControlPr xmlns="http://schemas.microsoft.com/office/spreadsheetml/2009/9/main" objectType="Drop" dropStyle="combo" dx="16" fmlaLink="PedBerMedIV!$I$6" fmlaRange="tblOplossing" sel="1" val="0"/>
</file>

<file path=xl/ctrlProps/ctrlProp14.xml><?xml version="1.0" encoding="utf-8"?>
<formControlPr xmlns="http://schemas.microsoft.com/office/spreadsheetml/2009/9/main" objectType="Drop" dropStyle="combo" dx="16" fmlaLink="PedBerMedIV!$I$7" fmlaRange="tblOplossing" sel="1" val="0"/>
</file>

<file path=xl/ctrlProps/ctrlProp15.xml><?xml version="1.0" encoding="utf-8"?>
<formControlPr xmlns="http://schemas.microsoft.com/office/spreadsheetml/2009/9/main" objectType="Drop" dropStyle="combo" dx="16" fmlaLink="PedBerMedIV!$I$8" fmlaRange="tblOplossing" sel="1" val="0"/>
</file>

<file path=xl/ctrlProps/ctrlProp16.xml><?xml version="1.0" encoding="utf-8"?>
<formControlPr xmlns="http://schemas.microsoft.com/office/spreadsheetml/2009/9/main" objectType="Drop" dropStyle="combo" dx="16" fmlaLink="PedBerMedIV!$I$9" fmlaRange="tblOplossing" sel="1" val="0"/>
</file>

<file path=xl/ctrlProps/ctrlProp17.xml><?xml version="1.0" encoding="utf-8"?>
<formControlPr xmlns="http://schemas.microsoft.com/office/spreadsheetml/2009/9/main" objectType="Drop" dropStyle="combo" dx="16" fmlaLink="PedBerMedIV!$I$10" fmlaRange="tblOplossing" sel="1" val="0"/>
</file>

<file path=xl/ctrlProps/ctrlProp18.xml><?xml version="1.0" encoding="utf-8"?>
<formControlPr xmlns="http://schemas.microsoft.com/office/spreadsheetml/2009/9/main" objectType="Drop" dropStyle="combo" dx="16" fmlaLink="PedBerMedIV!$I$11" fmlaRange="tblOplossing" sel="1" val="0"/>
</file>

<file path=xl/ctrlProps/ctrlProp19.xml><?xml version="1.0" encoding="utf-8"?>
<formControlPr xmlns="http://schemas.microsoft.com/office/spreadsheetml/2009/9/main" objectType="Drop" dropStyle="combo" dx="16" fmlaLink="PedBerMedIV!$I$15" fmlaRange="tblOplossing" sel="1" val="0"/>
</file>

<file path=xl/ctrlProps/ctrlProp20.xml><?xml version="1.0" encoding="utf-8"?>
<formControlPr xmlns="http://schemas.microsoft.com/office/spreadsheetml/2009/9/main" objectType="Drop" dropStyle="combo" dx="16" fmlaLink="PedBerMedIV!$I$13" fmlaRange="oplossing" sel="0" val="0"/>
</file>

<file path=xl/ctrlProps/ctrlProp21.xml><?xml version="1.0" encoding="utf-8"?>
<formControlPr xmlns="http://schemas.microsoft.com/office/spreadsheetml/2009/9/main" objectType="Drop" dropStyle="combo" dx="16" fmlaLink="PedBerMedIV!$I$14" fmlaRange="oplossing" sel="0" val="0"/>
</file>

<file path=xl/ctrlProps/ctrlProp22.xml><?xml version="1.0" encoding="utf-8"?>
<formControlPr xmlns="http://schemas.microsoft.com/office/spreadsheetml/2009/9/main" objectType="Spin" dx="15" fmlaLink="PedBerMedIV!$E$15" max="100" min="1" page="10"/>
</file>

<file path=xl/ctrlProps/ctrlProp23.xml><?xml version="1.0" encoding="utf-8"?>
<formControlPr xmlns="http://schemas.microsoft.com/office/spreadsheetml/2009/9/main" objectType="Drop" dropStyle="combo" dx="16" fmlaLink="PedBerMedIV!$I$16" fmlaRange="tblOplossing" sel="1" val="0"/>
</file>

<file path=xl/ctrlProps/ctrlProp24.xml><?xml version="1.0" encoding="utf-8"?>
<formControlPr xmlns="http://schemas.microsoft.com/office/spreadsheetml/2009/9/main" objectType="Spin" dx="15" fmlaLink="PedBerMedIV!$E$16" max="100" min="1" page="10"/>
</file>

<file path=xl/ctrlProps/ctrlProp25.xml><?xml version="1.0" encoding="utf-8"?>
<formControlPr xmlns="http://schemas.microsoft.com/office/spreadsheetml/2009/9/main" objectType="Drop" dropStyle="combo" dx="16" fmlaLink="PedBerMedIV!$I$17" fmlaRange="tblOplossing" sel="1" val="0"/>
</file>

<file path=xl/ctrlProps/ctrlProp26.xml><?xml version="1.0" encoding="utf-8"?>
<formControlPr xmlns="http://schemas.microsoft.com/office/spreadsheetml/2009/9/main" objectType="Spin" dx="15" fmlaLink="PedBerMedIV!$E$17" max="100" min="1" page="10"/>
</file>

<file path=xl/ctrlProps/ctrlProp27.xml><?xml version="1.0" encoding="utf-8"?>
<formControlPr xmlns="http://schemas.microsoft.com/office/spreadsheetml/2009/9/main" objectType="Spin" dx="15" fmlaLink="PedBerMedIV!$J$15" max="500" page="10" val="0"/>
</file>

<file path=xl/ctrlProps/ctrlProp28.xml><?xml version="1.0" encoding="utf-8"?>
<formControlPr xmlns="http://schemas.microsoft.com/office/spreadsheetml/2009/9/main" objectType="Spin" dx="15" fmlaLink="PedBerMedIV!$J$16" max="500" page="10" val="0"/>
</file>

<file path=xl/ctrlProps/ctrlProp29.xml><?xml version="1.0" encoding="utf-8"?>
<formControlPr xmlns="http://schemas.microsoft.com/office/spreadsheetml/2009/9/main" objectType="Spin" dx="15" fmlaLink="PedBerMedIV!$J$17" max="500" page="10" val="0"/>
</file>

<file path=xl/ctrlProps/ctrlProp30.xml><?xml version="1.0" encoding="utf-8"?>
<formControlPr xmlns="http://schemas.microsoft.com/office/spreadsheetml/2009/9/main" objectType="Drop" dropStyle="combo" dx="16" fmlaLink="PedBerMedIV!$I$13" fmlaRange="tblOplossing" sel="1" val="0"/>
</file>

<file path=xl/ctrlProps/ctrlProp31.xml><?xml version="1.0" encoding="utf-8"?>
<formControlPr xmlns="http://schemas.microsoft.com/office/spreadsheetml/2009/9/main" objectType="Spin" dx="15" fmlaLink="PedBerMedIV!$E$13" max="100" min="1" page="10"/>
</file>

<file path=xl/ctrlProps/ctrlProp32.xml><?xml version="1.0" encoding="utf-8"?>
<formControlPr xmlns="http://schemas.microsoft.com/office/spreadsheetml/2009/9/main" objectType="Spin" dx="15" fmlaLink="PedBerMedIV!$J$13" max="500" page="10" val="0"/>
</file>

<file path=xl/ctrlProps/ctrlProp33.xml><?xml version="1.0" encoding="utf-8"?>
<formControlPr xmlns="http://schemas.microsoft.com/office/spreadsheetml/2009/9/main" objectType="Drop" dropStyle="combo" dx="16" fmlaLink="PedBerMedIV!$I$14" fmlaRange="tblOplossing" sel="1" val="0"/>
</file>

<file path=xl/ctrlProps/ctrlProp34.xml><?xml version="1.0" encoding="utf-8"?>
<formControlPr xmlns="http://schemas.microsoft.com/office/spreadsheetml/2009/9/main" objectType="Spin" dx="15" fmlaLink="PedBerMedIV!$E$14" max="100" min="1" page="10"/>
</file>

<file path=xl/ctrlProps/ctrlProp35.xml><?xml version="1.0" encoding="utf-8"?>
<formControlPr xmlns="http://schemas.microsoft.com/office/spreadsheetml/2009/9/main" objectType="Spin" dx="15" fmlaLink="PedBerMedIV!$J$14" max="500" page="10" val="0"/>
</file>

<file path=xl/ctrlProps/ctrlProp36.xml><?xml version="1.0" encoding="utf-8"?>
<formControlPr xmlns="http://schemas.microsoft.com/office/spreadsheetml/2009/9/main" objectType="Drop" dropStyle="combo" dx="16" fmlaLink="PedBerMedIV!$B$12" fmlaRange="tblMedicationContIV" sel="1" val="0"/>
</file>

<file path=xl/ctrlProps/ctrlProp37.xml><?xml version="1.0" encoding="utf-8"?>
<formControlPr xmlns="http://schemas.microsoft.com/office/spreadsheetml/2009/9/main" objectType="Drop" dropStyle="combo" dx="16" fmlaLink="PedBerMedIV!$I$12" fmlaRange="tblOplossing" sel="1" val="0"/>
</file>

<file path=xl/ctrlProps/ctrlProp38.xml><?xml version="1.0" encoding="utf-8"?>
<formControlPr xmlns="http://schemas.microsoft.com/office/spreadsheetml/2009/9/main" objectType="Spin" dx="15" fmlaLink="PedBerMedIV!$J$4" max="1000" page="10" val="0"/>
</file>

<file path=xl/ctrlProps/ctrlProp39.xml><?xml version="1.0" encoding="utf-8"?>
<formControlPr xmlns="http://schemas.microsoft.com/office/spreadsheetml/2009/9/main" objectType="Spin" dx="15" fmlaLink="PedBerMedIV!$J$5" max="1000" page="10" val="0"/>
</file>

<file path=xl/ctrlProps/ctrlProp40.xml><?xml version="1.0" encoding="utf-8"?>
<formControlPr xmlns="http://schemas.microsoft.com/office/spreadsheetml/2009/9/main" objectType="Spin" dx="15" fmlaLink="PedBerMedIV!$J$6" max="1000" page="10" val="0"/>
</file>

<file path=xl/ctrlProps/ctrlProp41.xml><?xml version="1.0" encoding="utf-8"?>
<formControlPr xmlns="http://schemas.microsoft.com/office/spreadsheetml/2009/9/main" objectType="Spin" dx="15" fmlaLink="PedBerMedIV!$J$7" max="1000" page="10" val="0"/>
</file>

<file path=xl/ctrlProps/ctrlProp42.xml><?xml version="1.0" encoding="utf-8"?>
<formControlPr xmlns="http://schemas.microsoft.com/office/spreadsheetml/2009/9/main" objectType="Spin" dx="15" fmlaLink="PedBerMedIV!$J$8" max="1000" page="10" val="0"/>
</file>

<file path=xl/ctrlProps/ctrlProp43.xml><?xml version="1.0" encoding="utf-8"?>
<formControlPr xmlns="http://schemas.microsoft.com/office/spreadsheetml/2009/9/main" objectType="Spin" dx="15" fmlaLink="PedBerMedIV!$J$9" max="1000" page="10" val="0"/>
</file>

<file path=xl/ctrlProps/ctrlProp44.xml><?xml version="1.0" encoding="utf-8"?>
<formControlPr xmlns="http://schemas.microsoft.com/office/spreadsheetml/2009/9/main" objectType="Spin" dx="15" fmlaLink="PedBerMedIV!$J$10" max="1000" page="10" val="0"/>
</file>

<file path=xl/ctrlProps/ctrlProp45.xml><?xml version="1.0" encoding="utf-8"?>
<formControlPr xmlns="http://schemas.microsoft.com/office/spreadsheetml/2009/9/main" objectType="Spin" dx="15" fmlaLink="PedBerMedIV!$J$11" max="1000" page="10" val="0"/>
</file>

<file path=xl/ctrlProps/ctrlProp46.xml><?xml version="1.0" encoding="utf-8"?>
<formControlPr xmlns="http://schemas.microsoft.com/office/spreadsheetml/2009/9/main" objectType="Spin" dx="15" fmlaLink="PedBerMedIV!$J$12" max="1000" page="10" val="0"/>
</file>

<file path=xl/ctrlProps/ctrlProp47.xml><?xml version="1.0" encoding="utf-8"?>
<formControlPr xmlns="http://schemas.microsoft.com/office/spreadsheetml/2009/9/main" objectType="Spin" dx="15" fmlaLink="PatDetails!$H$2" max="200" min="25" page="10" val="80"/>
</file>

<file path=xl/ctrlProps/ctrlProp48.xml><?xml version="1.0" encoding="utf-8"?>
<formControlPr xmlns="http://schemas.microsoft.com/office/spreadsheetml/2009/9/main" objectType="Spin" dx="15" fmlaLink="PedBerMedIV!$E$4" max="1000" page="10" val="0"/>
</file>

<file path=xl/ctrlProps/ctrlProp49.xml><?xml version="1.0" encoding="utf-8"?>
<formControlPr xmlns="http://schemas.microsoft.com/office/spreadsheetml/2009/9/main" objectType="Spin" dx="15" fmlaLink="PedBerMedIV!$E$5" max="1000" page="10" val="0"/>
</file>

<file path=xl/ctrlProps/ctrlProp50.xml><?xml version="1.0" encoding="utf-8"?>
<formControlPr xmlns="http://schemas.microsoft.com/office/spreadsheetml/2009/9/main" objectType="Spin" dx="15" fmlaLink="PedBerMedIV!$E$6" max="1000" page="10" val="0"/>
</file>

<file path=xl/ctrlProps/ctrlProp51.xml><?xml version="1.0" encoding="utf-8"?>
<formControlPr xmlns="http://schemas.microsoft.com/office/spreadsheetml/2009/9/main" objectType="Spin" dx="15" fmlaLink="PedBerMedIV!$E$7" max="1000" page="10" val="0"/>
</file>

<file path=xl/ctrlProps/ctrlProp52.xml><?xml version="1.0" encoding="utf-8"?>
<formControlPr xmlns="http://schemas.microsoft.com/office/spreadsheetml/2009/9/main" objectType="Spin" dx="15" fmlaLink="PedBerMedIV!$E$8" max="1000" page="10" val="0"/>
</file>

<file path=xl/ctrlProps/ctrlProp53.xml><?xml version="1.0" encoding="utf-8"?>
<formControlPr xmlns="http://schemas.microsoft.com/office/spreadsheetml/2009/9/main" objectType="Spin" dx="15" fmlaLink="PedBerMedIV!$E$9" max="1000" page="10" val="0"/>
</file>

<file path=xl/ctrlProps/ctrlProp54.xml><?xml version="1.0" encoding="utf-8"?>
<formControlPr xmlns="http://schemas.microsoft.com/office/spreadsheetml/2009/9/main" objectType="Spin" dx="15" fmlaLink="PedBerMedIV!$E$10" max="1000" page="10" val="0"/>
</file>

<file path=xl/ctrlProps/ctrlProp55.xml><?xml version="1.0" encoding="utf-8"?>
<formControlPr xmlns="http://schemas.microsoft.com/office/spreadsheetml/2009/9/main" objectType="Spin" dx="15" fmlaLink="PedBerMedIV!$E$11" max="1000" page="10" val="0"/>
</file>

<file path=xl/ctrlProps/ctrlProp56.xml><?xml version="1.0" encoding="utf-8"?>
<formControlPr xmlns="http://schemas.microsoft.com/office/spreadsheetml/2009/9/main" objectType="Spin" dx="15" fmlaLink="PedBerMedIV!$E$12" max="1000" page="10" val="0"/>
</file>

<file path=xl/ctrlProps/ctrlProp57.xml><?xml version="1.0" encoding="utf-8"?>
<formControlPr xmlns="http://schemas.microsoft.com/office/spreadsheetml/2009/9/main" objectType="Spin" dx="15" fmlaLink="PedBerMedIV!$D$6" max="1000" page="10" val="0"/>
</file>

<file path=xl/ctrlProps/ctrlProp58.xml><?xml version="1.0" encoding="utf-8"?>
<formControlPr xmlns="http://schemas.microsoft.com/office/spreadsheetml/2009/9/main" objectType="Spin" dx="15" fmlaLink="PedBerMedIV!$D$7" max="1000" page="10" val="0"/>
</file>

<file path=xl/ctrlProps/ctrlProp59.xml><?xml version="1.0" encoding="utf-8"?>
<formControlPr xmlns="http://schemas.microsoft.com/office/spreadsheetml/2009/9/main" objectType="Spin" dx="15" fmlaLink="PedBerMedIV!$D$8" max="1000" page="10" val="0"/>
</file>

<file path=xl/ctrlProps/ctrlProp60.xml><?xml version="1.0" encoding="utf-8"?>
<formControlPr xmlns="http://schemas.microsoft.com/office/spreadsheetml/2009/9/main" objectType="Spin" dx="15" fmlaLink="PedBerMedIV!$D$9" max="1000" page="10" val="0"/>
</file>

<file path=xl/ctrlProps/ctrlProp61.xml><?xml version="1.0" encoding="utf-8"?>
<formControlPr xmlns="http://schemas.microsoft.com/office/spreadsheetml/2009/9/main" objectType="Spin" dx="15" fmlaLink="PedBerMedIV!$D$10" max="1000" page="10" val="0"/>
</file>

<file path=xl/ctrlProps/ctrlProp62.xml><?xml version="1.0" encoding="utf-8"?>
<formControlPr xmlns="http://schemas.microsoft.com/office/spreadsheetml/2009/9/main" objectType="Spin" dx="15" fmlaLink="PedBerMedIV!$D$11" max="1000" page="10" val="0"/>
</file>

<file path=xl/ctrlProps/ctrlProp63.xml><?xml version="1.0" encoding="utf-8"?>
<formControlPr xmlns="http://schemas.microsoft.com/office/spreadsheetml/2009/9/main" objectType="Spin" dx="15" fmlaLink="PedBerMedIV!$D$12" max="1000" page="10" val="0"/>
</file>

<file path=xl/ctrlProps/ctrlProp64.xml><?xml version="1.0" encoding="utf-8"?>
<formControlPr xmlns="http://schemas.microsoft.com/office/spreadsheetml/2009/9/main" objectType="Spin" dx="15" fmlaLink="PedBerMedIV!$E$3" max="1000" page="10" val="0"/>
</file>

<file path=xl/ctrlProps/ctrlProp65.xml><?xml version="1.0" encoding="utf-8"?>
<formControlPr xmlns="http://schemas.microsoft.com/office/spreadsheetml/2009/9/main" objectType="Spin" dx="15" fmlaLink="PedBerMedIV!$D$3" max="1000" page="10" val="0"/>
</file>

<file path=xl/ctrlProps/ctrlProp66.xml><?xml version="1.0" encoding="utf-8"?>
<formControlPr xmlns="http://schemas.microsoft.com/office/spreadsheetml/2009/9/main" objectType="Spin" dx="15" fmlaLink="PedBerMedIV!$J$3" max="1000" page="10" val="0"/>
</file>

<file path=xl/ctrlProps/ctrlProp67.xml><?xml version="1.0" encoding="utf-8"?>
<formControlPr xmlns="http://schemas.microsoft.com/office/spreadsheetml/2009/9/main" objectType="Spin" dx="15" fmlaLink="PedBerMedIV!$D$4" max="1000" page="10" val="0"/>
</file>

<file path=xl/ctrlProps/ctrlProp68.xml><?xml version="1.0" encoding="utf-8"?>
<formControlPr xmlns="http://schemas.microsoft.com/office/spreadsheetml/2009/9/main" objectType="Spin" dx="15" fmlaLink="PedBerMedIV!$D$5" max="1000" page="10" val="0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Spin" dx="15" fmlaLink="PedBerMedDisc!$I$2" max="13" min="1" page="10"/>
</file>

<file path=xl/ctrlProps/ctrlProp80.xml><?xml version="1.0" encoding="utf-8"?>
<formControlPr xmlns="http://schemas.microsoft.com/office/spreadsheetml/2009/9/main" objectType="Spin" dx="15" fmlaLink="PedBerMedDisc!$G$2" max="100" page="10" val="0"/>
</file>

<file path=xl/ctrlProps/ctrlProp81.xml><?xml version="1.0" encoding="utf-8"?>
<formControlPr xmlns="http://schemas.microsoft.com/office/spreadsheetml/2009/9/main" objectType="Drop" dropStyle="combo" dx="16" fmlaLink="PedBerMedDisc!$O$2" fmlaRange="tblMedDiscOplVl" sel="0" val="0"/>
</file>

<file path=xl/ctrlProps/ctrlProp82.xml><?xml version="1.0" encoding="utf-8"?>
<formControlPr xmlns="http://schemas.microsoft.com/office/spreadsheetml/2009/9/main" objectType="Spin" dx="15" fmlaLink="PedBerMedDisc!$N$2" max="30000" page="10" val="0"/>
</file>

<file path=xl/ctrlProps/ctrlProp83.xml><?xml version="1.0" encoding="utf-8"?>
<formControlPr xmlns="http://schemas.microsoft.com/office/spreadsheetml/2009/9/main" objectType="Spin" dx="15" fmlaLink="PedBerMedDisc!$G$3" max="100" page="10" val="0"/>
</file>

<file path=xl/ctrlProps/ctrlProp84.xml><?xml version="1.0" encoding="utf-8"?>
<formControlPr xmlns="http://schemas.microsoft.com/office/spreadsheetml/2009/9/main" objectType="Drop" dropStyle="combo" dx="16" fmlaLink="PedBerMedDisc!$O$3" fmlaRange="tblMedDiscOplVl" sel="0" val="0"/>
</file>

<file path=xl/ctrlProps/ctrlProp85.xml><?xml version="1.0" encoding="utf-8"?>
<formControlPr xmlns="http://schemas.microsoft.com/office/spreadsheetml/2009/9/main" objectType="Spin" dx="15" fmlaLink="PedBerMedDisc!$N$3" max="30000" page="10" val="0"/>
</file>

<file path=xl/ctrlProps/ctrlProp86.xml><?xml version="1.0" encoding="utf-8"?>
<formControlPr xmlns="http://schemas.microsoft.com/office/spreadsheetml/2009/9/main" objectType="Spin" dx="15" fmlaLink="PedBerMedDisc!$I$4" max="13" min="1" page="10"/>
</file>

<file path=xl/ctrlProps/ctrlProp87.xml><?xml version="1.0" encoding="utf-8"?>
<formControlPr xmlns="http://schemas.microsoft.com/office/spreadsheetml/2009/9/main" objectType="Spin" dx="15" fmlaLink="PedBerMedDisc!$G$4" max="100" page="10" val="0"/>
</file>

<file path=xl/ctrlProps/ctrlProp88.xml><?xml version="1.0" encoding="utf-8"?>
<formControlPr xmlns="http://schemas.microsoft.com/office/spreadsheetml/2009/9/main" objectType="Drop" dropStyle="combo" dx="16" fmlaLink="PedBerMedDisc!$O$4" fmlaRange="PedBerMedDisc!$B$27:$B$30" sel="0" val="0"/>
</file>

<file path=xl/ctrlProps/ctrlProp89.xml><?xml version="1.0" encoding="utf-8"?>
<formControlPr xmlns="http://schemas.microsoft.com/office/spreadsheetml/2009/9/main" objectType="Spin" dx="15" fmlaLink="PedBerMedDisc!$N$4" max="30000" page="10" val="0"/>
</file>

<file path=xl/ctrlProps/ctrlProp90.xml><?xml version="1.0" encoding="utf-8"?>
<formControlPr xmlns="http://schemas.microsoft.com/office/spreadsheetml/2009/9/main" objectType="Spin" dx="15" fmlaLink="PedBerMedDisc!$I$5" max="13" min="1" page="10"/>
</file>

<file path=xl/ctrlProps/ctrlProp91.xml><?xml version="1.0" encoding="utf-8"?>
<formControlPr xmlns="http://schemas.microsoft.com/office/spreadsheetml/2009/9/main" objectType="Spin" dx="15" fmlaLink="PedBerMedDisc!$G$5" max="100" page="10" val="0"/>
</file>

<file path=xl/ctrlProps/ctrlProp92.xml><?xml version="1.0" encoding="utf-8"?>
<formControlPr xmlns="http://schemas.microsoft.com/office/spreadsheetml/2009/9/main" objectType="Drop" dropStyle="combo" dx="16" fmlaLink="PedBerMedDisc!$O$5" fmlaRange="tblMedDiscOplVl" sel="0" val="0"/>
</file>

<file path=xl/ctrlProps/ctrlProp93.xml><?xml version="1.0" encoding="utf-8"?>
<formControlPr xmlns="http://schemas.microsoft.com/office/spreadsheetml/2009/9/main" objectType="Spin" dx="15" fmlaLink="PedBerMedDisc!$N$5" max="30000" page="10" val="0"/>
</file>

<file path=xl/ctrlProps/ctrlProp94.xml><?xml version="1.0" encoding="utf-8"?>
<formControlPr xmlns="http://schemas.microsoft.com/office/spreadsheetml/2009/9/main" objectType="Spin" dx="15" fmlaLink="PedBerMedDisc!$I$6" max="13" min="1" page="10"/>
</file>

<file path=xl/ctrlProps/ctrlProp95.xml><?xml version="1.0" encoding="utf-8"?>
<formControlPr xmlns="http://schemas.microsoft.com/office/spreadsheetml/2009/9/main" objectType="Spin" dx="15" fmlaLink="PedBerMedDisc!$G$6" max="100" page="10" val="0"/>
</file>

<file path=xl/ctrlProps/ctrlProp96.xml><?xml version="1.0" encoding="utf-8"?>
<formControlPr xmlns="http://schemas.microsoft.com/office/spreadsheetml/2009/9/main" objectType="Drop" dropStyle="combo" dx="16" fmlaLink="PedBerMedDisc!$O$6" fmlaRange="tblMedDiscOplVl" sel="0" val="0"/>
</file>

<file path=xl/ctrlProps/ctrlProp97.xml><?xml version="1.0" encoding="utf-8"?>
<formControlPr xmlns="http://schemas.microsoft.com/office/spreadsheetml/2009/9/main" objectType="Spin" dx="15" fmlaLink="PedBerMedDisc!$N$6" max="30000" page="10" val="0"/>
</file>

<file path=xl/ctrlProps/ctrlProp98.xml><?xml version="1.0" encoding="utf-8"?>
<formControlPr xmlns="http://schemas.microsoft.com/office/spreadsheetml/2009/9/main" objectType="Spin" dx="15" fmlaLink="PedBerMedDisc!$I$7" max="13" min="1" page="10"/>
</file>

<file path=xl/ctrlProps/ctrlProp99.xml><?xml version="1.0" encoding="utf-8"?>
<formControlPr xmlns="http://schemas.microsoft.com/office/spreadsheetml/2009/9/main" objectType="Spin" dx="15" fmlaLink="PedBerMedDisc!$G$7" max="100" page="10" val="0"/>
</file>

<file path=xl/ctrlProps/ctrlProp100.xml><?xml version="1.0" encoding="utf-8"?>
<formControlPr xmlns="http://schemas.microsoft.com/office/spreadsheetml/2009/9/main" objectType="Drop" dropStyle="combo" dx="16" fmlaLink="PedBerMedDisc!$O$7" fmlaRange="tblMedDiscOplVl" sel="0" val="0"/>
</file>

<file path=xl/ctrlProps/ctrlProp101.xml><?xml version="1.0" encoding="utf-8"?>
<formControlPr xmlns="http://schemas.microsoft.com/office/spreadsheetml/2009/9/main" objectType="Spin" dx="15" fmlaLink="PedBerMedDisc!$N$7" max="30000" page="10" val="0"/>
</file>

<file path=xl/ctrlProps/ctrlProp102.xml><?xml version="1.0" encoding="utf-8"?>
<formControlPr xmlns="http://schemas.microsoft.com/office/spreadsheetml/2009/9/main" objectType="Spin" dx="15" fmlaLink="PedBerMedDisc!$I$8" max="13" min="1" page="10"/>
</file>

<file path=xl/ctrlProps/ctrlProp103.xml><?xml version="1.0" encoding="utf-8"?>
<formControlPr xmlns="http://schemas.microsoft.com/office/spreadsheetml/2009/9/main" objectType="Spin" dx="15" fmlaLink="PedBerMedDisc!$G$8" max="100" page="10" val="0"/>
</file>

<file path=xl/ctrlProps/ctrlProp104.xml><?xml version="1.0" encoding="utf-8"?>
<formControlPr xmlns="http://schemas.microsoft.com/office/spreadsheetml/2009/9/main" objectType="Drop" dropStyle="combo" dx="16" fmlaLink="PedBerMedDisc!$O$8" fmlaRange="tblMedDiscOplVl" sel="0" val="0"/>
</file>

<file path=xl/ctrlProps/ctrlProp105.xml><?xml version="1.0" encoding="utf-8"?>
<formControlPr xmlns="http://schemas.microsoft.com/office/spreadsheetml/2009/9/main" objectType="Spin" dx="15" fmlaLink="PedBerMedDisc!$N$8" max="30000" page="10" val="0"/>
</file>

<file path=xl/ctrlProps/ctrlProp106.xml><?xml version="1.0" encoding="utf-8"?>
<formControlPr xmlns="http://schemas.microsoft.com/office/spreadsheetml/2009/9/main" objectType="Spin" dx="15" fmlaLink="PedBerMedDisc!$I$9" max="13" min="1" page="10"/>
</file>

<file path=xl/ctrlProps/ctrlProp107.xml><?xml version="1.0" encoding="utf-8"?>
<formControlPr xmlns="http://schemas.microsoft.com/office/spreadsheetml/2009/9/main" objectType="Spin" dx="15" fmlaLink="PedBerMedDisc!$G$9" max="100" page="10" val="0"/>
</file>

<file path=xl/ctrlProps/ctrlProp108.xml><?xml version="1.0" encoding="utf-8"?>
<formControlPr xmlns="http://schemas.microsoft.com/office/spreadsheetml/2009/9/main" objectType="Drop" dropStyle="combo" dx="16" fmlaLink="PedBerMedDisc!$O$9" fmlaRange="tblMedDiscOplVl" sel="0" val="0"/>
</file>

<file path=xl/ctrlProps/ctrlProp109.xml><?xml version="1.0" encoding="utf-8"?>
<formControlPr xmlns="http://schemas.microsoft.com/office/spreadsheetml/2009/9/main" objectType="Spin" dx="15" fmlaLink="PedBerMedDisc!$N$9" max="30000" page="10" val="0"/>
</file>

<file path=xl/ctrlProps/ctrlProp110.xml><?xml version="1.0" encoding="utf-8"?>
<formControlPr xmlns="http://schemas.microsoft.com/office/spreadsheetml/2009/9/main" objectType="Spin" dx="15" fmlaLink="PedBerMedDisc!$I$10" max="13" min="1" page="10"/>
</file>

<file path=xl/ctrlProps/ctrlProp111.xml><?xml version="1.0" encoding="utf-8"?>
<formControlPr xmlns="http://schemas.microsoft.com/office/spreadsheetml/2009/9/main" objectType="Spin" dx="15" fmlaLink="PedBerMedDisc!$G$10" max="100" page="10" val="0"/>
</file>

<file path=xl/ctrlProps/ctrlProp112.xml><?xml version="1.0" encoding="utf-8"?>
<formControlPr xmlns="http://schemas.microsoft.com/office/spreadsheetml/2009/9/main" objectType="Drop" dropStyle="combo" dx="16" fmlaLink="PedBerMedDisc!$O$10" fmlaRange="tblMedDiscOplVl" sel="0" val="0"/>
</file>

<file path=xl/ctrlProps/ctrlProp113.xml><?xml version="1.0" encoding="utf-8"?>
<formControlPr xmlns="http://schemas.microsoft.com/office/spreadsheetml/2009/9/main" objectType="Spin" dx="15" fmlaLink="PedBerMedDisc!$N$10" max="30000" page="10" val="0"/>
</file>

<file path=xl/ctrlProps/ctrlProp114.xml><?xml version="1.0" encoding="utf-8"?>
<formControlPr xmlns="http://schemas.microsoft.com/office/spreadsheetml/2009/9/main" objectType="Spin" dx="15" fmlaLink="PedBerMedDisc!$I$11" max="13" min="1" page="10"/>
</file>

<file path=xl/ctrlProps/ctrlProp115.xml><?xml version="1.0" encoding="utf-8"?>
<formControlPr xmlns="http://schemas.microsoft.com/office/spreadsheetml/2009/9/main" objectType="Spin" dx="15" fmlaLink="PedBerMedDisc!$G$11" max="100" page="10" val="0"/>
</file>

<file path=xl/ctrlProps/ctrlProp116.xml><?xml version="1.0" encoding="utf-8"?>
<formControlPr xmlns="http://schemas.microsoft.com/office/spreadsheetml/2009/9/main" objectType="Drop" dropStyle="combo" dx="16" fmlaLink="PedBerMedDisc!$O$11" fmlaRange="tblMedDiscOplVl" sel="0" val="0"/>
</file>

<file path=xl/ctrlProps/ctrlProp117.xml><?xml version="1.0" encoding="utf-8"?>
<formControlPr xmlns="http://schemas.microsoft.com/office/spreadsheetml/2009/9/main" objectType="Spin" dx="15" fmlaLink="PedBerMedDisc!$N$11" max="30000" page="10" val="0"/>
</file>

<file path=xl/ctrlProps/ctrlProp118.xml><?xml version="1.0" encoding="utf-8"?>
<formControlPr xmlns="http://schemas.microsoft.com/office/spreadsheetml/2009/9/main" objectType="Spin" dx="15" fmlaLink="PedBerMedDisc!$I$12" max="13" min="1" page="10"/>
</file>

<file path=xl/ctrlProps/ctrlProp119.xml><?xml version="1.0" encoding="utf-8"?>
<formControlPr xmlns="http://schemas.microsoft.com/office/spreadsheetml/2009/9/main" objectType="Spin" dx="15" fmlaLink="PedBerMedDisc!$G$12" max="100" page="10" val="0"/>
</file>

<file path=xl/ctrlProps/ctrlProp120.xml><?xml version="1.0" encoding="utf-8"?>
<formControlPr xmlns="http://schemas.microsoft.com/office/spreadsheetml/2009/9/main" objectType="Drop" dropStyle="combo" dx="16" fmlaLink="PedBerMedDisc!$O$12" fmlaRange="tblMedDiscOplVl" sel="0" val="0"/>
</file>

<file path=xl/ctrlProps/ctrlProp121.xml><?xml version="1.0" encoding="utf-8"?>
<formControlPr xmlns="http://schemas.microsoft.com/office/spreadsheetml/2009/9/main" objectType="Spin" dx="15" fmlaLink="PedBerMedDisc!$N$12" max="30000" page="10" val="0"/>
</file>

<file path=xl/ctrlProps/ctrlProp122.xml><?xml version="1.0" encoding="utf-8"?>
<formControlPr xmlns="http://schemas.microsoft.com/office/spreadsheetml/2009/9/main" objectType="Spin" dx="15" fmlaLink="PedBerMedDisc!$I$13" max="13" min="1" page="10"/>
</file>

<file path=xl/ctrlProps/ctrlProp123.xml><?xml version="1.0" encoding="utf-8"?>
<formControlPr xmlns="http://schemas.microsoft.com/office/spreadsheetml/2009/9/main" objectType="Spin" dx="15" fmlaLink="PedBerMedDisc!$G$13" max="100" page="10" val="0"/>
</file>

<file path=xl/ctrlProps/ctrlProp124.xml><?xml version="1.0" encoding="utf-8"?>
<formControlPr xmlns="http://schemas.microsoft.com/office/spreadsheetml/2009/9/main" objectType="Drop" dropStyle="combo" dx="16" fmlaLink="PedBerMedDisc!$O$13" fmlaRange="tblMedDiscOplVl" sel="0" val="0"/>
</file>

<file path=xl/ctrlProps/ctrlProp125.xml><?xml version="1.0" encoding="utf-8"?>
<formControlPr xmlns="http://schemas.microsoft.com/office/spreadsheetml/2009/9/main" objectType="Spin" dx="15" fmlaLink="PedBerMedDisc!$N$13" max="30000" page="10" val="0"/>
</file>

<file path=xl/ctrlProps/ctrlProp126.xml><?xml version="1.0" encoding="utf-8"?>
<formControlPr xmlns="http://schemas.microsoft.com/office/spreadsheetml/2009/9/main" objectType="Spin" dx="15" fmlaLink="PedBerMedDisc!$I$14" max="13" min="1" page="10"/>
</file>

<file path=xl/ctrlProps/ctrlProp127.xml><?xml version="1.0" encoding="utf-8"?>
<formControlPr xmlns="http://schemas.microsoft.com/office/spreadsheetml/2009/9/main" objectType="Spin" dx="15" fmlaLink="PedBerMedDisc!$G$14" max="100" page="10" val="0"/>
</file>

<file path=xl/ctrlProps/ctrlProp128.xml><?xml version="1.0" encoding="utf-8"?>
<formControlPr xmlns="http://schemas.microsoft.com/office/spreadsheetml/2009/9/main" objectType="Drop" dropStyle="combo" dx="16" fmlaLink="PedBerMedDisc!$O$14" fmlaRange="tblMedDiscOplVl" sel="0" val="0"/>
</file>

<file path=xl/ctrlProps/ctrlProp129.xml><?xml version="1.0" encoding="utf-8"?>
<formControlPr xmlns="http://schemas.microsoft.com/office/spreadsheetml/2009/9/main" objectType="Spin" dx="15" fmlaLink="PedBerMedDisc!$N$14" max="30000" page="10" val="0"/>
</file>

<file path=xl/ctrlProps/ctrlProp130.xml><?xml version="1.0" encoding="utf-8"?>
<formControlPr xmlns="http://schemas.microsoft.com/office/spreadsheetml/2009/9/main" objectType="Spin" dx="15" fmlaLink="PedBerMedDisc!$I$15" max="13" min="1" page="10"/>
</file>

<file path=xl/ctrlProps/ctrlProp131.xml><?xml version="1.0" encoding="utf-8"?>
<formControlPr xmlns="http://schemas.microsoft.com/office/spreadsheetml/2009/9/main" objectType="Spin" dx="15" fmlaLink="PedBerMedDisc!$G$15" max="100" page="10" val="0"/>
</file>

<file path=xl/ctrlProps/ctrlProp132.xml><?xml version="1.0" encoding="utf-8"?>
<formControlPr xmlns="http://schemas.microsoft.com/office/spreadsheetml/2009/9/main" objectType="Drop" dropStyle="combo" dx="16" fmlaLink="PedBerMedDisc!$O$15" fmlaRange="tblMedDiscOplVl" sel="0" val="0"/>
</file>

<file path=xl/ctrlProps/ctrlProp133.xml><?xml version="1.0" encoding="utf-8"?>
<formControlPr xmlns="http://schemas.microsoft.com/office/spreadsheetml/2009/9/main" objectType="Spin" dx="15" fmlaLink="PedBerMedDisc!$N$15" max="30000" page="10" val="0"/>
</file>

<file path=xl/ctrlProps/ctrlProp134.xml><?xml version="1.0" encoding="utf-8"?>
<formControlPr xmlns="http://schemas.microsoft.com/office/spreadsheetml/2009/9/main" objectType="Spin" dx="15" fmlaLink="PedBerMedDisc!$I$16" max="13" min="1" page="10"/>
</file>

<file path=xl/ctrlProps/ctrlProp135.xml><?xml version="1.0" encoding="utf-8"?>
<formControlPr xmlns="http://schemas.microsoft.com/office/spreadsheetml/2009/9/main" objectType="Spin" dx="15" fmlaLink="PedBerMedDisc!$G$16" max="100" page="10" val="0"/>
</file>

<file path=xl/ctrlProps/ctrlProp136.xml><?xml version="1.0" encoding="utf-8"?>
<formControlPr xmlns="http://schemas.microsoft.com/office/spreadsheetml/2009/9/main" objectType="Drop" dropStyle="combo" dx="16" fmlaLink="PedBerMedDisc!$O$16" fmlaRange="tblMedDiscOplVl" sel="0" val="0"/>
</file>

<file path=xl/ctrlProps/ctrlProp137.xml><?xml version="1.0" encoding="utf-8"?>
<formControlPr xmlns="http://schemas.microsoft.com/office/spreadsheetml/2009/9/main" objectType="Spin" dx="15" fmlaLink="PedBerMedDisc!$N$16" max="30000" page="10" val="0"/>
</file>

<file path=xl/ctrlProps/ctrlProp138.xml><?xml version="1.0" encoding="utf-8"?>
<formControlPr xmlns="http://schemas.microsoft.com/office/spreadsheetml/2009/9/main" objectType="Spin" dx="15" fmlaLink="PedBerMedDisc!$I$17" max="13" min="1" page="10"/>
</file>

<file path=xl/ctrlProps/ctrlProp139.xml><?xml version="1.0" encoding="utf-8"?>
<formControlPr xmlns="http://schemas.microsoft.com/office/spreadsheetml/2009/9/main" objectType="Spin" dx="15" fmlaLink="PedBerMedDisc!$G$17" max="1000" page="10" val="0"/>
</file>

<file path=xl/ctrlProps/ctrlProp140.xml><?xml version="1.0" encoding="utf-8"?>
<formControlPr xmlns="http://schemas.microsoft.com/office/spreadsheetml/2009/9/main" objectType="Drop" dropStyle="combo" dx="16" fmlaLink="PedBerMedDisc!$O$17" fmlaRange="tblMedDiscOplVl" sel="0" val="0"/>
</file>

<file path=xl/ctrlProps/ctrlProp141.xml><?xml version="1.0" encoding="utf-8"?>
<formControlPr xmlns="http://schemas.microsoft.com/office/spreadsheetml/2009/9/main" objectType="Spin" dx="15" fmlaLink="PedBerMedDisc!$N$17" max="30000" page="10" val="0"/>
</file>

<file path=xl/ctrlProps/ctrlProp142.xml><?xml version="1.0" encoding="utf-8"?>
<formControlPr xmlns="http://schemas.microsoft.com/office/spreadsheetml/2009/9/main" objectType="Spin" dx="15" fmlaLink="PedBerMedDisc!$I$18" max="13" min="1" page="10"/>
</file>

<file path=xl/ctrlProps/ctrlProp143.xml><?xml version="1.0" encoding="utf-8"?>
<formControlPr xmlns="http://schemas.microsoft.com/office/spreadsheetml/2009/9/main" objectType="Spin" dx="15" fmlaLink="PedBerMedDisc!$G$18" max="1000" page="10" val="0"/>
</file>

<file path=xl/ctrlProps/ctrlProp144.xml><?xml version="1.0" encoding="utf-8"?>
<formControlPr xmlns="http://schemas.microsoft.com/office/spreadsheetml/2009/9/main" objectType="Drop" dropStyle="combo" dx="16" fmlaLink="PedBerMedDisc!$O$18" fmlaRange="tblMedDiscOplVl" sel="0" val="0"/>
</file>

<file path=xl/ctrlProps/ctrlProp145.xml><?xml version="1.0" encoding="utf-8"?>
<formControlPr xmlns="http://schemas.microsoft.com/office/spreadsheetml/2009/9/main" objectType="Spin" dx="15" fmlaLink="PedBerMedDisc!$N$18" max="30000" page="10" val="0"/>
</file>

<file path=xl/ctrlProps/ctrlProp146.xml><?xml version="1.0" encoding="utf-8"?>
<formControlPr xmlns="http://schemas.microsoft.com/office/spreadsheetml/2009/9/main" objectType="Spin" dx="15" fmlaLink="PedBerMedDisc!$I$19" max="13" min="1" page="10"/>
</file>

<file path=xl/ctrlProps/ctrlProp147.xml><?xml version="1.0" encoding="utf-8"?>
<formControlPr xmlns="http://schemas.microsoft.com/office/spreadsheetml/2009/9/main" objectType="Spin" dx="15" fmlaLink="PedBerMedDisc!$G$19" max="1000" page="10" val="0"/>
</file>

<file path=xl/ctrlProps/ctrlProp148.xml><?xml version="1.0" encoding="utf-8"?>
<formControlPr xmlns="http://schemas.microsoft.com/office/spreadsheetml/2009/9/main" objectType="Drop" dropStyle="combo" dx="16" fmlaLink="PedBerMedDisc!$O$19" fmlaRange="tblMedDiscOplVl" sel="0" val="0"/>
</file>

<file path=xl/ctrlProps/ctrlProp149.xml><?xml version="1.0" encoding="utf-8"?>
<formControlPr xmlns="http://schemas.microsoft.com/office/spreadsheetml/2009/9/main" objectType="Spin" dx="15" fmlaLink="PedBerMedDisc!$N$19" max="30000" page="10" val="0"/>
</file>

<file path=xl/ctrlProps/ctrlProp150.xml><?xml version="1.0" encoding="utf-8"?>
<formControlPr xmlns="http://schemas.microsoft.com/office/spreadsheetml/2009/9/main" objectType="Spin" dx="15" fmlaLink="PedBerMedDisc!$I$20" max="13" min="1" page="10"/>
</file>

<file path=xl/ctrlProps/ctrlProp151.xml><?xml version="1.0" encoding="utf-8"?>
<formControlPr xmlns="http://schemas.microsoft.com/office/spreadsheetml/2009/9/main" objectType="Spin" dx="15" fmlaLink="PedBerMedDisc!$G$20" max="1000" page="10" val="0"/>
</file>

<file path=xl/ctrlProps/ctrlProp152.xml><?xml version="1.0" encoding="utf-8"?>
<formControlPr xmlns="http://schemas.microsoft.com/office/spreadsheetml/2009/9/main" objectType="Drop" dropStyle="combo" dx="16" fmlaLink="PedBerMedDisc!$O$20" fmlaRange="tblMedDiscOplVl" sel="0" val="0"/>
</file>

<file path=xl/ctrlProps/ctrlProp153.xml><?xml version="1.0" encoding="utf-8"?>
<formControlPr xmlns="http://schemas.microsoft.com/office/spreadsheetml/2009/9/main" objectType="Spin" dx="15" fmlaLink="PedBerMedDisc!$N$20" max="30000" page="10" val="0"/>
</file>

<file path=xl/ctrlProps/ctrlProp154.xml><?xml version="1.0" encoding="utf-8"?>
<formControlPr xmlns="http://schemas.microsoft.com/office/spreadsheetml/2009/9/main" objectType="Spin" dx="15" fmlaLink="PedBerMedDisc!$I$21" max="13" min="1" page="10"/>
</file>

<file path=xl/ctrlProps/ctrlProp155.xml><?xml version="1.0" encoding="utf-8"?>
<formControlPr xmlns="http://schemas.microsoft.com/office/spreadsheetml/2009/9/main" objectType="Spin" dx="15" fmlaLink="PedBerMedDisc!$G$21" max="1000" page="10" val="0"/>
</file>

<file path=xl/ctrlProps/ctrlProp15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57.xml><?xml version="1.0" encoding="utf-8"?>
<formControlPr xmlns="http://schemas.microsoft.com/office/spreadsheetml/2009/9/main" objectType="Spin" dx="15" fmlaLink="PedBerMedDisc!$N$21" max="30000" page="10" val="0"/>
</file>

<file path=xl/ctrlProps/ctrlProp158.xml><?xml version="1.0" encoding="utf-8"?>
<formControlPr xmlns="http://schemas.microsoft.com/office/spreadsheetml/2009/9/main" objectType="Spin" dx="15" fmlaLink="PedBerMedDisc!$I$3" max="13" min="1" page="10"/>
</file>

<file path=xl/ctrlProps/ctrlProp159.xml><?xml version="1.0" encoding="utf-8"?>
<formControlPr xmlns="http://schemas.microsoft.com/office/spreadsheetml/2009/9/main" objectType="Spin" dx="15" fmlaLink="PedBerMedDisc!$Q$2" inc="5" max="1440" page="10" val="0"/>
</file>

<file path=xl/ctrlProps/ctrlProp160.xml><?xml version="1.0" encoding="utf-8"?>
<formControlPr xmlns="http://schemas.microsoft.com/office/spreadsheetml/2009/9/main" objectType="Spin" dx="15" fmlaLink="PedBerMedDisc!$Q$3" inc="5" max="1440" page="10" val="0"/>
</file>

<file path=xl/ctrlProps/ctrlProp161.xml><?xml version="1.0" encoding="utf-8"?>
<formControlPr xmlns="http://schemas.microsoft.com/office/spreadsheetml/2009/9/main" objectType="Spin" dx="15" fmlaLink="PedBerMedDisc!$Q$4" inc="5" max="1440" page="10" val="0"/>
</file>

<file path=xl/ctrlProps/ctrlProp162.xml><?xml version="1.0" encoding="utf-8"?>
<formControlPr xmlns="http://schemas.microsoft.com/office/spreadsheetml/2009/9/main" objectType="Spin" dx="15" fmlaLink="PedBerMedDisc!$Q$5" inc="5" max="1440" page="10" val="0"/>
</file>

<file path=xl/ctrlProps/ctrlProp163.xml><?xml version="1.0" encoding="utf-8"?>
<formControlPr xmlns="http://schemas.microsoft.com/office/spreadsheetml/2009/9/main" objectType="Spin" dx="15" fmlaLink="PedBerMedDisc!$Q$6" inc="5" max="1440" page="10" val="0"/>
</file>

<file path=xl/ctrlProps/ctrlProp164.xml><?xml version="1.0" encoding="utf-8"?>
<formControlPr xmlns="http://schemas.microsoft.com/office/spreadsheetml/2009/9/main" objectType="Spin" dx="15" fmlaLink="PedBerMedDisc!$Q$7" inc="5" max="1440" page="10" val="0"/>
</file>

<file path=xl/ctrlProps/ctrlProp165.xml><?xml version="1.0" encoding="utf-8"?>
<formControlPr xmlns="http://schemas.microsoft.com/office/spreadsheetml/2009/9/main" objectType="Spin" dx="15" fmlaLink="PedBerMedDisc!$Q$8" inc="5" max="1440" page="10" val="0"/>
</file>

<file path=xl/ctrlProps/ctrlProp166.xml><?xml version="1.0" encoding="utf-8"?>
<formControlPr xmlns="http://schemas.microsoft.com/office/spreadsheetml/2009/9/main" objectType="Spin" dx="15" fmlaLink="PedBerMedDisc!$Q$9" inc="5" max="1440" page="10" val="0"/>
</file>

<file path=xl/ctrlProps/ctrlProp167.xml><?xml version="1.0" encoding="utf-8"?>
<formControlPr xmlns="http://schemas.microsoft.com/office/spreadsheetml/2009/9/main" objectType="Spin" dx="15" fmlaLink="PedBerMedDisc!$Q$10" inc="5" max="1440" page="10" val="0"/>
</file>

<file path=xl/ctrlProps/ctrlProp168.xml><?xml version="1.0" encoding="utf-8"?>
<formControlPr xmlns="http://schemas.microsoft.com/office/spreadsheetml/2009/9/main" objectType="Spin" dx="15" fmlaLink="PedBerMedDisc!$Q$11" inc="5" max="1440" page="10" val="0"/>
</file>

<file path=xl/ctrlProps/ctrlProp169.xml><?xml version="1.0" encoding="utf-8"?>
<formControlPr xmlns="http://schemas.microsoft.com/office/spreadsheetml/2009/9/main" objectType="Spin" dx="15" fmlaLink="PedBerMedDisc!$Q$12" inc="5" max="1440" page="10" val="0"/>
</file>

<file path=xl/ctrlProps/ctrlProp170.xml><?xml version="1.0" encoding="utf-8"?>
<formControlPr xmlns="http://schemas.microsoft.com/office/spreadsheetml/2009/9/main" objectType="Spin" dx="15" fmlaLink="PedBerMedDisc!$Q$13" inc="5" max="1440" page="10" val="0"/>
</file>

<file path=xl/ctrlProps/ctrlProp171.xml><?xml version="1.0" encoding="utf-8"?>
<formControlPr xmlns="http://schemas.microsoft.com/office/spreadsheetml/2009/9/main" objectType="Spin" dx="15" fmlaLink="PedBerMedDisc!$Q$14" inc="5" max="1440" page="10" val="0"/>
</file>

<file path=xl/ctrlProps/ctrlProp172.xml><?xml version="1.0" encoding="utf-8"?>
<formControlPr xmlns="http://schemas.microsoft.com/office/spreadsheetml/2009/9/main" objectType="Spin" dx="15" fmlaLink="PedBerMedDisc!$Q$15" inc="5" max="1440" page="10" val="0"/>
</file>

<file path=xl/ctrlProps/ctrlProp173.xml><?xml version="1.0" encoding="utf-8"?>
<formControlPr xmlns="http://schemas.microsoft.com/office/spreadsheetml/2009/9/main" objectType="Spin" dx="15" fmlaLink="PedBerMedDisc!$Q$16" inc="5" max="1440" page="10" val="0"/>
</file>

<file path=xl/ctrlProps/ctrlProp174.xml><?xml version="1.0" encoding="utf-8"?>
<formControlPr xmlns="http://schemas.microsoft.com/office/spreadsheetml/2009/9/main" objectType="Spin" dx="15" fmlaLink="PedBerMedDisc!$Q$17" inc="5" max="1440" page="10" val="0"/>
</file>

<file path=xl/ctrlProps/ctrlProp175.xml><?xml version="1.0" encoding="utf-8"?>
<formControlPr xmlns="http://schemas.microsoft.com/office/spreadsheetml/2009/9/main" objectType="Spin" dx="15" fmlaLink="PedBerMedDisc!$Q$18" inc="5" max="1440" page="10" val="0"/>
</file>

<file path=xl/ctrlProps/ctrlProp176.xml><?xml version="1.0" encoding="utf-8"?>
<formControlPr xmlns="http://schemas.microsoft.com/office/spreadsheetml/2009/9/main" objectType="Spin" dx="15" fmlaLink="PedBerMedDisc!$Q$19" inc="5" max="1440" page="10" val="0"/>
</file>

<file path=xl/ctrlProps/ctrlProp177.xml><?xml version="1.0" encoding="utf-8"?>
<formControlPr xmlns="http://schemas.microsoft.com/office/spreadsheetml/2009/9/main" objectType="Spin" dx="15" fmlaLink="PedBerMedDisc!$Q$20" inc="5" max="1440" page="10" val="0"/>
</file>

<file path=xl/ctrlProps/ctrlProp178.xml><?xml version="1.0" encoding="utf-8"?>
<formControlPr xmlns="http://schemas.microsoft.com/office/spreadsheetml/2009/9/main" objectType="Spin" dx="15" fmlaLink="PedBerMedDisc!$Q$21" inc="5" max="1440" page="10" val="0"/>
</file>

<file path=xl/ctrlProps/ctrlProp179.xml><?xml version="1.0" encoding="utf-8"?>
<formControlPr xmlns="http://schemas.microsoft.com/office/spreadsheetml/2009/9/main" objectType="Drop" dropStyle="combo" dx="16" fmlaLink="PedBerMedDisc!$O$4" fmlaRange="tblMedDiscOplVl" sel="0" val="0"/>
</file>

<file path=xl/ctrlProps/ctrlProp180.xml><?xml version="1.0" encoding="utf-8"?>
<formControlPr xmlns="http://schemas.microsoft.com/office/spreadsheetml/2009/9/main" objectType="Spin" dx="15" fmlaLink="PatDetails!$H$2" max="200" min="25" page="10" val="80"/>
</file>

<file path=xl/ctrlProps/ctrlProp18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0.xml><?xml version="1.0" encoding="utf-8"?>
<formControlPr xmlns="http://schemas.microsoft.com/office/spreadsheetml/2009/9/main" objectType="Drop" dropStyle="combo" dx="16" fmlaLink="PedBerMedDisc!$O$22" fmlaRange="tblMedDiscOplVl" sel="0" val="0"/>
</file>

<file path=xl/ctrlProps/ctrlProp191.xml><?xml version="1.0" encoding="utf-8"?>
<formControlPr xmlns="http://schemas.microsoft.com/office/spreadsheetml/2009/9/main" objectType="Spin" dx="15" fmlaLink="PedBerMedDisc!$I$22" max="13" min="1" page="10"/>
</file>

<file path=xl/ctrlProps/ctrlProp192.xml><?xml version="1.0" encoding="utf-8"?>
<formControlPr xmlns="http://schemas.microsoft.com/office/spreadsheetml/2009/9/main" objectType="Spin" dx="15" fmlaLink="PedBerMedDisc!$G$22" max="1000" page="10" val="0"/>
</file>

<file path=xl/ctrlProps/ctrlProp193.xml><?xml version="1.0" encoding="utf-8"?>
<formControlPr xmlns="http://schemas.microsoft.com/office/spreadsheetml/2009/9/main" objectType="Spin" dx="15" fmlaLink="PedBerMedDisc!$N$22" max="30000" page="10" val="0"/>
</file>

<file path=xl/ctrlProps/ctrlProp194.xml><?xml version="1.0" encoding="utf-8"?>
<formControlPr xmlns="http://schemas.microsoft.com/office/spreadsheetml/2009/9/main" objectType="Spin" dx="15" fmlaLink="PedBerMedDisc!$Q$22" inc="5" max="1440" page="10" val="0"/>
</file>

<file path=xl/ctrlProps/ctrlProp19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4.xml><?xml version="1.0" encoding="utf-8"?>
<formControlPr xmlns="http://schemas.microsoft.com/office/spreadsheetml/2009/9/main" objectType="Drop" dropStyle="combo" dx="16" fmlaLink="PedBerMedDisc!$O$23" fmlaRange="tblMedDiscOplVl" sel="0" val="0"/>
</file>

<file path=xl/ctrlProps/ctrlProp205.xml><?xml version="1.0" encoding="utf-8"?>
<formControlPr xmlns="http://schemas.microsoft.com/office/spreadsheetml/2009/9/main" objectType="Spin" dx="15" fmlaLink="PedBerMedDisc!$I$23" max="13" min="1" page="10"/>
</file>

<file path=xl/ctrlProps/ctrlProp206.xml><?xml version="1.0" encoding="utf-8"?>
<formControlPr xmlns="http://schemas.microsoft.com/office/spreadsheetml/2009/9/main" objectType="Spin" dx="15" fmlaLink="PedBerMedDisc!$G$23" max="1000" page="10" val="0"/>
</file>

<file path=xl/ctrlProps/ctrlProp207.xml><?xml version="1.0" encoding="utf-8"?>
<formControlPr xmlns="http://schemas.microsoft.com/office/spreadsheetml/2009/9/main" objectType="Spin" dx="15" fmlaLink="PedBerMedDisc!$N$23" max="30000" page="10" val="0"/>
</file>

<file path=xl/ctrlProps/ctrlProp208.xml><?xml version="1.0" encoding="utf-8"?>
<formControlPr xmlns="http://schemas.microsoft.com/office/spreadsheetml/2009/9/main" objectType="Spin" dx="15" fmlaLink="PedBerMedDisc!$Q$23" inc="5" max="1440" page="10" val="0"/>
</file>

<file path=xl/ctrlProps/ctrlProp20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8.xml><?xml version="1.0" encoding="utf-8"?>
<formControlPr xmlns="http://schemas.microsoft.com/office/spreadsheetml/2009/9/main" objectType="Drop" dropStyle="combo" dx="16" fmlaLink="PedBerMedDisc!$O$24" fmlaRange="tblMedDiscOplVl" sel="0" val="0"/>
</file>

<file path=xl/ctrlProps/ctrlProp219.xml><?xml version="1.0" encoding="utf-8"?>
<formControlPr xmlns="http://schemas.microsoft.com/office/spreadsheetml/2009/9/main" objectType="Spin" dx="15" fmlaLink="PedBerMedDisc!$I$24" max="13" min="1" page="10"/>
</file>

<file path=xl/ctrlProps/ctrlProp220.xml><?xml version="1.0" encoding="utf-8"?>
<formControlPr xmlns="http://schemas.microsoft.com/office/spreadsheetml/2009/9/main" objectType="Spin" dx="15" fmlaLink="PedBerMedDisc!$G$24" max="1000" page="10" val="0"/>
</file>

<file path=xl/ctrlProps/ctrlProp221.xml><?xml version="1.0" encoding="utf-8"?>
<formControlPr xmlns="http://schemas.microsoft.com/office/spreadsheetml/2009/9/main" objectType="Spin" dx="15" fmlaLink="PedBerMedDisc!$N$24" max="30000" page="10" val="0"/>
</file>

<file path=xl/ctrlProps/ctrlProp222.xml><?xml version="1.0" encoding="utf-8"?>
<formControlPr xmlns="http://schemas.microsoft.com/office/spreadsheetml/2009/9/main" objectType="Spin" dx="15" fmlaLink="PedBerMedDisc!$Q$24" inc="5" max="1440" page="10" val="0"/>
</file>

<file path=xl/ctrlProps/ctrlProp22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2.xml><?xml version="1.0" encoding="utf-8"?>
<formControlPr xmlns="http://schemas.microsoft.com/office/spreadsheetml/2009/9/main" objectType="Drop" dropStyle="combo" dx="16" fmlaLink="PedBerMedDisc!$O$25" fmlaRange="tblMedDiscOplVl" sel="0" val="0"/>
</file>

<file path=xl/ctrlProps/ctrlProp233.xml><?xml version="1.0" encoding="utf-8"?>
<formControlPr xmlns="http://schemas.microsoft.com/office/spreadsheetml/2009/9/main" objectType="Spin" dx="15" fmlaLink="PedBerMedDisc!$I$25" max="13" min="1" page="10"/>
</file>

<file path=xl/ctrlProps/ctrlProp234.xml><?xml version="1.0" encoding="utf-8"?>
<formControlPr xmlns="http://schemas.microsoft.com/office/spreadsheetml/2009/9/main" objectType="Spin" dx="15" fmlaLink="PedBerMedDisc!$G$25" max="1000" page="10" val="0"/>
</file>

<file path=xl/ctrlProps/ctrlProp235.xml><?xml version="1.0" encoding="utf-8"?>
<formControlPr xmlns="http://schemas.microsoft.com/office/spreadsheetml/2009/9/main" objectType="Spin" dx="15" fmlaLink="PedBerMedDisc!$N$25" max="30000" page="10" val="0"/>
</file>

<file path=xl/ctrlProps/ctrlProp236.xml><?xml version="1.0" encoding="utf-8"?>
<formControlPr xmlns="http://schemas.microsoft.com/office/spreadsheetml/2009/9/main" objectType="Spin" dx="15" fmlaLink="PedBerMedDisc!$Q$25" inc="5" max="1440" page="10" val="0"/>
</file>

<file path=xl/ctrlProps/ctrlProp23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6.xml><?xml version="1.0" encoding="utf-8"?>
<formControlPr xmlns="http://schemas.microsoft.com/office/spreadsheetml/2009/9/main" objectType="Drop" dropStyle="combo" dx="16" fmlaLink="PedBerMedDisc!$O$26" fmlaRange="tblMedDiscOplVl" sel="0" val="0"/>
</file>

<file path=xl/ctrlProps/ctrlProp247.xml><?xml version="1.0" encoding="utf-8"?>
<formControlPr xmlns="http://schemas.microsoft.com/office/spreadsheetml/2009/9/main" objectType="Spin" dx="15" fmlaLink="PedBerMedDisc!$I$26" max="13" min="1" page="10"/>
</file>

<file path=xl/ctrlProps/ctrlProp248.xml><?xml version="1.0" encoding="utf-8"?>
<formControlPr xmlns="http://schemas.microsoft.com/office/spreadsheetml/2009/9/main" objectType="Spin" dx="15" fmlaLink="PedBerMedDisc!$G$26" max="1000" page="10" val="0"/>
</file>

<file path=xl/ctrlProps/ctrlProp249.xml><?xml version="1.0" encoding="utf-8"?>
<formControlPr xmlns="http://schemas.microsoft.com/office/spreadsheetml/2009/9/main" objectType="Spin" dx="15" fmlaLink="PedBerMedDisc!$N$26" max="30000" page="10" val="0"/>
</file>

<file path=xl/ctrlProps/ctrlProp250.xml><?xml version="1.0" encoding="utf-8"?>
<formControlPr xmlns="http://schemas.microsoft.com/office/spreadsheetml/2009/9/main" objectType="Spin" dx="15" fmlaLink="PedBerMedDisc!$Q$26" inc="5" max="1440" page="10" val="0"/>
</file>

<file path=xl/ctrlProps/ctrlProp25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0.xml><?xml version="1.0" encoding="utf-8"?>
<formControlPr xmlns="http://schemas.microsoft.com/office/spreadsheetml/2009/9/main" objectType="Drop" dropStyle="combo" dx="16" fmlaLink="PedBerMedDisc!$O$27" fmlaRange="tblMedDiscOplVl" sel="0" val="0"/>
</file>

<file path=xl/ctrlProps/ctrlProp261.xml><?xml version="1.0" encoding="utf-8"?>
<formControlPr xmlns="http://schemas.microsoft.com/office/spreadsheetml/2009/9/main" objectType="Spin" dx="15" fmlaLink="PedBerMedDisc!$I$27" max="13" min="1" page="10"/>
</file>

<file path=xl/ctrlProps/ctrlProp262.xml><?xml version="1.0" encoding="utf-8"?>
<formControlPr xmlns="http://schemas.microsoft.com/office/spreadsheetml/2009/9/main" objectType="Spin" dx="15" fmlaLink="PedBerMedDisc!$G$27" max="1000" page="10" val="0"/>
</file>

<file path=xl/ctrlProps/ctrlProp263.xml><?xml version="1.0" encoding="utf-8"?>
<formControlPr xmlns="http://schemas.microsoft.com/office/spreadsheetml/2009/9/main" objectType="Spin" dx="15" fmlaLink="PedBerMedDisc!$N$27" max="30000" page="10" val="0"/>
</file>

<file path=xl/ctrlProps/ctrlProp264.xml><?xml version="1.0" encoding="utf-8"?>
<formControlPr xmlns="http://schemas.microsoft.com/office/spreadsheetml/2009/9/main" objectType="Spin" dx="15" fmlaLink="PedBerMedDisc!$Q$27" inc="5" max="1440" page="10" val="0"/>
</file>

<file path=xl/ctrlProps/ctrlProp26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4.xml><?xml version="1.0" encoding="utf-8"?>
<formControlPr xmlns="http://schemas.microsoft.com/office/spreadsheetml/2009/9/main" objectType="Drop" dropStyle="combo" dx="16" fmlaLink="PedBerMedDisc!$O$28" fmlaRange="tblMedDiscOplVl" sel="0" val="0"/>
</file>

<file path=xl/ctrlProps/ctrlProp275.xml><?xml version="1.0" encoding="utf-8"?>
<formControlPr xmlns="http://schemas.microsoft.com/office/spreadsheetml/2009/9/main" objectType="Spin" dx="15" fmlaLink="PedBerMedDisc!$I$28" max="13" min="1" page="10"/>
</file>

<file path=xl/ctrlProps/ctrlProp276.xml><?xml version="1.0" encoding="utf-8"?>
<formControlPr xmlns="http://schemas.microsoft.com/office/spreadsheetml/2009/9/main" objectType="Spin" dx="15" fmlaLink="PedBerMedDisc!$G$28" max="1000" page="10" val="0"/>
</file>

<file path=xl/ctrlProps/ctrlProp277.xml><?xml version="1.0" encoding="utf-8"?>
<formControlPr xmlns="http://schemas.microsoft.com/office/spreadsheetml/2009/9/main" objectType="Spin" dx="15" fmlaLink="PedBerMedDisc!$N$28" max="30000" page="10" val="0"/>
</file>

<file path=xl/ctrlProps/ctrlProp278.xml><?xml version="1.0" encoding="utf-8"?>
<formControlPr xmlns="http://schemas.microsoft.com/office/spreadsheetml/2009/9/main" objectType="Spin" dx="15" fmlaLink="PedBerMedDisc!$Q$28" inc="5" max="1440" page="10" val="0"/>
</file>

<file path=xl/ctrlProps/ctrlProp27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8.xml><?xml version="1.0" encoding="utf-8"?>
<formControlPr xmlns="http://schemas.microsoft.com/office/spreadsheetml/2009/9/main" objectType="Drop" dropStyle="combo" dx="16" fmlaLink="PedBerMedDisc!$O$29" fmlaRange="tblMedDiscOplVl" sel="0" val="0"/>
</file>

<file path=xl/ctrlProps/ctrlProp289.xml><?xml version="1.0" encoding="utf-8"?>
<formControlPr xmlns="http://schemas.microsoft.com/office/spreadsheetml/2009/9/main" objectType="Spin" dx="15" fmlaLink="PedBerMedDisc!$I$29" max="13" min="1" page="10"/>
</file>

<file path=xl/ctrlProps/ctrlProp290.xml><?xml version="1.0" encoding="utf-8"?>
<formControlPr xmlns="http://schemas.microsoft.com/office/spreadsheetml/2009/9/main" objectType="Spin" dx="15" fmlaLink="PedBerMedDisc!$G$29" max="1000" page="10" val="0"/>
</file>

<file path=xl/ctrlProps/ctrlProp291.xml><?xml version="1.0" encoding="utf-8"?>
<formControlPr xmlns="http://schemas.microsoft.com/office/spreadsheetml/2009/9/main" objectType="Spin" dx="15" fmlaLink="PedBerMedDisc!$N$29" max="30000" page="10" val="0"/>
</file>

<file path=xl/ctrlProps/ctrlProp292.xml><?xml version="1.0" encoding="utf-8"?>
<formControlPr xmlns="http://schemas.microsoft.com/office/spreadsheetml/2009/9/main" objectType="Spin" dx="15" fmlaLink="PedBerMedDisc!$Q$29" inc="5" max="1440" page="10" val="0"/>
</file>

<file path=xl/ctrlProps/ctrlProp29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2.xml><?xml version="1.0" encoding="utf-8"?>
<formControlPr xmlns="http://schemas.microsoft.com/office/spreadsheetml/2009/9/main" objectType="Drop" dropStyle="combo" dx="16" fmlaLink="PedBerMedDisc!$O$30" fmlaRange="tblMedDiscOplVl" sel="0" val="0"/>
</file>

<file path=xl/ctrlProps/ctrlProp303.xml><?xml version="1.0" encoding="utf-8"?>
<formControlPr xmlns="http://schemas.microsoft.com/office/spreadsheetml/2009/9/main" objectType="Spin" dx="15" fmlaLink="PedBerMedDisc!$I$30" max="13" min="1" page="10"/>
</file>

<file path=xl/ctrlProps/ctrlProp304.xml><?xml version="1.0" encoding="utf-8"?>
<formControlPr xmlns="http://schemas.microsoft.com/office/spreadsheetml/2009/9/main" objectType="Spin" dx="15" fmlaLink="PedBerMedDisc!$G$30" max="1000" page="10" val="0"/>
</file>

<file path=xl/ctrlProps/ctrlProp305.xml><?xml version="1.0" encoding="utf-8"?>
<formControlPr xmlns="http://schemas.microsoft.com/office/spreadsheetml/2009/9/main" objectType="Spin" dx="15" fmlaLink="PedBerMedDisc!$N$30" max="30000" page="10" val="0"/>
</file>

<file path=xl/ctrlProps/ctrlProp306.xml><?xml version="1.0" encoding="utf-8"?>
<formControlPr xmlns="http://schemas.microsoft.com/office/spreadsheetml/2009/9/main" objectType="Spin" dx="15" fmlaLink="PedBerMedDisc!$Q$30" inc="5" max="1440" page="10" val="0"/>
</file>

<file path=xl/ctrlProps/ctrlProp30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6.xml><?xml version="1.0" encoding="utf-8"?>
<formControlPr xmlns="http://schemas.microsoft.com/office/spreadsheetml/2009/9/main" objectType="Drop" dropStyle="combo" dx="16" fmlaLink="PedBerMedDisc!$O$31" fmlaRange="tblMedDiscOplVl" sel="0" val="0"/>
</file>

<file path=xl/ctrlProps/ctrlProp317.xml><?xml version="1.0" encoding="utf-8"?>
<formControlPr xmlns="http://schemas.microsoft.com/office/spreadsheetml/2009/9/main" objectType="Spin" dx="15" fmlaLink="PedBerMedDisc!$I$31" max="13" min="1" page="10"/>
</file>

<file path=xl/ctrlProps/ctrlProp318.xml><?xml version="1.0" encoding="utf-8"?>
<formControlPr xmlns="http://schemas.microsoft.com/office/spreadsheetml/2009/9/main" objectType="Spin" dx="15" fmlaLink="PedBerMedDisc!$G$31" max="1000" page="10" val="0"/>
</file>

<file path=xl/ctrlProps/ctrlProp319.xml><?xml version="1.0" encoding="utf-8"?>
<formControlPr xmlns="http://schemas.microsoft.com/office/spreadsheetml/2009/9/main" objectType="Spin" dx="15" fmlaLink="PedBerMedDisc!$N$31" max="30000" page="10" val="0"/>
</file>

<file path=xl/ctrlProps/ctrlProp320.xml><?xml version="1.0" encoding="utf-8"?>
<formControlPr xmlns="http://schemas.microsoft.com/office/spreadsheetml/2009/9/main" objectType="Spin" dx="15" fmlaLink="PedBerMedDisc!$Q$31" inc="5" max="1440" page="10" val="0"/>
</file>

<file path=xl/ctrlProps/ctrlProp321.xml><?xml version="1.0" encoding="utf-8"?>
<formControlPr xmlns="http://schemas.microsoft.com/office/spreadsheetml/2009/9/main" objectType="Drop" dropStyle="combo" dx="16" fmlaLink="PedBerIVenPM!$B$2" fmlaRange="tblInfusen" sel="1" val="25"/>
</file>

<file path=xl/ctrlProps/ctrlProp322.xml><?xml version="1.0" encoding="utf-8"?>
<formControlPr xmlns="http://schemas.microsoft.com/office/spreadsheetml/2009/9/main" objectType="Drop" dropStyle="combo" dx="16" fmlaLink="PedBerIVenPM!$B$3" fmlaRange="tblInfusen" sel="1" val="25"/>
</file>

<file path=xl/ctrlProps/ctrlProp323.xml><?xml version="1.0" encoding="utf-8"?>
<formControlPr xmlns="http://schemas.microsoft.com/office/spreadsheetml/2009/9/main" objectType="Drop" dropStyle="combo" dx="16" fmlaLink="PedBerIVenPM!$B$4" fmlaRange="tblInfusen" sel="1" val="0"/>
</file>

<file path=xl/ctrlProps/ctrlProp324.xml><?xml version="1.0" encoding="utf-8"?>
<formControlPr xmlns="http://schemas.microsoft.com/office/spreadsheetml/2009/9/main" objectType="Drop" dropStyle="combo" dx="16" fmlaLink="PedBerIVenPM!$B$5" fmlaRange="tblInfusen" sel="1" val="25"/>
</file>

<file path=xl/ctrlProps/ctrlProp325.xml><?xml version="1.0" encoding="utf-8"?>
<formControlPr xmlns="http://schemas.microsoft.com/office/spreadsheetml/2009/9/main" objectType="Drop" dropStyle="combo" dx="16" fmlaLink="PedBerIVenPM!$B$6" fmlaRange="tblInfusen" sel="1" val="25"/>
</file>

<file path=xl/ctrlProps/ctrlProp326.xml><?xml version="1.0" encoding="utf-8"?>
<formControlPr xmlns="http://schemas.microsoft.com/office/spreadsheetml/2009/9/main" objectType="Drop" dropStyle="combo" dx="16" fmlaLink="PedBerIVenPM!$B$7" fmlaRange="tblInfusen" sel="1" val="0"/>
</file>

<file path=xl/ctrlProps/ctrlProp327.xml><?xml version="1.0" encoding="utf-8"?>
<formControlPr xmlns="http://schemas.microsoft.com/office/spreadsheetml/2009/9/main" objectType="Spin" dx="15" fmlaLink="PatDetails!$H$2" max="200" min="25" page="10" val="80"/>
</file>

<file path=xl/ctrlProps/ctrlProp328.xml><?xml version="1.0" encoding="utf-8"?>
<formControlPr xmlns="http://schemas.microsoft.com/office/spreadsheetml/2009/9/main" objectType="Drop" dropStyle="combo" dx="16" fmlaLink="_Ped_PM_Actief" fmlaRange="tblPacemakerPositie" sel="0" val="0"/>
</file>

<file path=xl/ctrlProps/ctrlProp329.xml><?xml version="1.0" encoding="utf-8"?>
<formControlPr xmlns="http://schemas.microsoft.com/office/spreadsheetml/2009/9/main" objectType="Drop" dropStyle="combo" dx="16" fmlaLink="_Ped_PM_Mod" fmlaRange="tblPacemakerModus" sel="0" val="0"/>
</file>

<file path=xl/ctrlProps/ctrlProp330.xml><?xml version="1.0" encoding="utf-8"?>
<formControlPr xmlns="http://schemas.microsoft.com/office/spreadsheetml/2009/9/main" objectType="Spin" dx="15" fmlaLink="PedBerIVenPM!$G$1" max="200" min="30" page="10" val="30"/>
</file>

<file path=xl/ctrlProps/ctrlProp331.xml><?xml version="1.0" encoding="utf-8"?>
<formControlPr xmlns="http://schemas.microsoft.com/office/spreadsheetml/2009/9/main" objectType="Spin" dx="15" fmlaLink="PedBerIVenPM!$G$2" max="180" min="1" page="10"/>
</file>

<file path=xl/ctrlProps/ctrlProp332.xml><?xml version="1.0" encoding="utf-8"?>
<formControlPr xmlns="http://schemas.microsoft.com/office/spreadsheetml/2009/9/main" objectType="Spin" dx="15" fmlaLink="PedBerIVenPM!$G$3" max="180" min="1" page="10"/>
</file>

<file path=xl/ctrlProps/ctrlProp333.xml><?xml version="1.0" encoding="utf-8"?>
<formControlPr xmlns="http://schemas.microsoft.com/office/spreadsheetml/2009/9/main" objectType="Spin" dx="15" fmlaLink="PedBerIVenPM!$G$4" max="250" min="20" page="10" val="20"/>
</file>

<file path=xl/ctrlProps/ctrlProp334.xml><?xml version="1.0" encoding="utf-8"?>
<formControlPr xmlns="http://schemas.microsoft.com/office/spreadsheetml/2009/9/main" objectType="Spin" dx="15" fmlaLink="PedBerIVenPM!$G$5" max="200" min="2" page="10" val="2"/>
</file>

<file path=xl/ctrlProps/ctrlProp335.xml><?xml version="1.0" encoding="utf-8"?>
<formControlPr xmlns="http://schemas.microsoft.com/office/spreadsheetml/2009/9/main" objectType="Spin" dx="15" fmlaLink="PedBerIVenPM!$G$6" max="200" min="10" page="10" val="10"/>
</file>

<file path=xl/ctrlProps/ctrlProp336.xml><?xml version="1.0" encoding="utf-8"?>
<formControlPr xmlns="http://schemas.microsoft.com/office/spreadsheetml/2009/9/main" objectType="Spin" dx="15" fmlaLink="PedBerEnt!$J$2" max="24" min="1" page="10"/>
</file>

<file path=xl/ctrlProps/ctrlProp337.xml><?xml version="1.0" encoding="utf-8"?>
<formControlPr xmlns="http://schemas.microsoft.com/office/spreadsheetml/2009/9/main" objectType="Spin" dx="15" fmlaLink="PedBerEnt!$K$2" max="10000" min="1" page="10"/>
</file>

<file path=xl/ctrlProps/ctrlProp338.xml><?xml version="1.0" encoding="utf-8"?>
<formControlPr xmlns="http://schemas.microsoft.com/office/spreadsheetml/2009/9/main" objectType="Drop" dropStyle="combo" dx="16" fmlaLink="PedBerEnt!$N$2" fmlaRange="tblPerOs" sel="1" val="0"/>
</file>

<file path=xl/ctrlProps/ctrlProp339.xml><?xml version="1.0" encoding="utf-8"?>
<formControlPr xmlns="http://schemas.microsoft.com/office/spreadsheetml/2009/9/main" objectType="Spin" dx="15" fmlaLink="PedBerTPN!$D$3" max="300" page="10" val="0"/>
</file>

<file path=xl/ctrlProps/ctrlProp340.xml><?xml version="1.0" encoding="utf-8"?>
<formControlPr xmlns="http://schemas.microsoft.com/office/spreadsheetml/2009/9/main" objectType="Spin" dx="15" fmlaLink="PedBerTPN!$E$7" max="5000" min="1" page="10"/>
</file>

<file path=xl/ctrlProps/ctrlProp341.xml><?xml version="1.0" encoding="utf-8"?>
<formControlPr xmlns="http://schemas.microsoft.com/office/spreadsheetml/2009/9/main" objectType="Spin" dx="15" fmlaLink="PedBerTPN!$E$8" max="5000" min="1" page="10"/>
</file>

<file path=xl/ctrlProps/ctrlProp342.xml><?xml version="1.0" encoding="utf-8"?>
<formControlPr xmlns="http://schemas.microsoft.com/office/spreadsheetml/2009/9/main" objectType="Spin" dx="15" fmlaLink="PedBerTPN!$E$9" max="5000" min="1" page="10"/>
</file>

<file path=xl/ctrlProps/ctrlProp343.xml><?xml version="1.0" encoding="utf-8"?>
<formControlPr xmlns="http://schemas.microsoft.com/office/spreadsheetml/2009/9/main" objectType="CheckBox" fmlaLink="PedBerTPN!$C$7" lockText="1"/>
</file>

<file path=xl/ctrlProps/ctrlProp344.xml><?xml version="1.0" encoding="utf-8"?>
<formControlPr xmlns="http://schemas.microsoft.com/office/spreadsheetml/2009/9/main" objectType="CheckBox" fmlaLink="PedBerTPN!$C$8" lockText="1"/>
</file>

<file path=xl/ctrlProps/ctrlProp345.xml><?xml version="1.0" encoding="utf-8"?>
<formControlPr xmlns="http://schemas.microsoft.com/office/spreadsheetml/2009/9/main" objectType="CheckBox" fmlaLink="PedBerTPN!$C$9" lockText="1"/>
</file>

<file path=xl/ctrlProps/ctrlProp346.xml><?xml version="1.0" encoding="utf-8"?>
<formControlPr xmlns="http://schemas.microsoft.com/office/spreadsheetml/2009/9/main" objectType="Spin" dx="15" fmlaLink="PedBerTPN!$D$12" max="200" page="10" val="0"/>
</file>

<file path=xl/ctrlProps/ctrlProp347.xml><?xml version="1.0" encoding="utf-8"?>
<formControlPr xmlns="http://schemas.microsoft.com/office/spreadsheetml/2009/9/main" objectType="CheckBox" fmlaLink="PedBerTPN!$C$14" lockText="1"/>
</file>

<file path=xl/ctrlProps/ctrlProp348.xml><?xml version="1.0" encoding="utf-8"?>
<formControlPr xmlns="http://schemas.microsoft.com/office/spreadsheetml/2009/9/main" objectType="CheckBox" fmlaLink="PedBerTPN!$C$15" lockText="1"/>
</file>

<file path=xl/ctrlProps/ctrlProp349.xml><?xml version="1.0" encoding="utf-8"?>
<formControlPr xmlns="http://schemas.microsoft.com/office/spreadsheetml/2009/9/main" objectType="Spin" dx="15" fmlaLink="PedBerTPN!$E$14" max="55" min="1" page="10"/>
</file>

<file path=xl/ctrlProps/ctrlProp350.xml><?xml version="1.0" encoding="utf-8"?>
<formControlPr xmlns="http://schemas.microsoft.com/office/spreadsheetml/2009/9/main" objectType="Spin" dx="15" fmlaLink="PedBerTPN!$E$15" max="55" min="1" page="10"/>
</file>

<file path=xl/ctrlProps/ctrlProp351.xml><?xml version="1.0" encoding="utf-8"?>
<formControlPr xmlns="http://schemas.microsoft.com/office/spreadsheetml/2009/9/main" objectType="Drop" dropStyle="combo" dx="16" fmlaLink="PedBerEnt!$O$2" fmlaRange="tblSonde" sel="1" val="0"/>
</file>

<file path=xl/ctrlProps/ctrlProp352.xml><?xml version="1.0" encoding="utf-8"?>
<formControlPr xmlns="http://schemas.microsoft.com/office/spreadsheetml/2009/9/main" objectType="CheckBox" fmlaLink="PedBerTPN!$C$10" lockText="1"/>
</file>

<file path=xl/ctrlProps/ctrlProp353.xml><?xml version="1.0" encoding="utf-8"?>
<formControlPr xmlns="http://schemas.microsoft.com/office/spreadsheetml/2009/9/main" objectType="CheckBox" fmlaLink="PedBerTPN!$C$11" lockText="1"/>
</file>

<file path=xl/ctrlProps/ctrlProp354.xml><?xml version="1.0" encoding="utf-8"?>
<formControlPr xmlns="http://schemas.microsoft.com/office/spreadsheetml/2009/9/main" objectType="Spin" dx="15" fmlaLink="PedBerTPN!$E$10" max="5000" min="1" page="10"/>
</file>

<file path=xl/ctrlProps/ctrlProp355.xml><?xml version="1.0" encoding="utf-8"?>
<formControlPr xmlns="http://schemas.microsoft.com/office/spreadsheetml/2009/9/main" objectType="Spin" dx="15" fmlaLink="PedBerTPN!$E$11" max="200" min="1" page="10"/>
</file>

<file path=xl/ctrlProps/ctrlProp356.xml><?xml version="1.0" encoding="utf-8"?>
<formControlPr xmlns="http://schemas.microsoft.com/office/spreadsheetml/2009/9/main" objectType="Drop" dropStyle="combo" dx="16" fmlaLink="PedBerTPN!$B$4" fmlaRange="tblTPN" sel="1" val="0"/>
</file>

<file path=xl/ctrlProps/ctrlProp357.xml><?xml version="1.0" encoding="utf-8"?>
<formControlPr xmlns="http://schemas.microsoft.com/office/spreadsheetml/2009/9/main" objectType="Drop" dropStyle="combo" dx="16" fmlaLink="PedBerTPN!$B$6" fmlaRange="tblSSTGlucose" sel="1" val="0"/>
</file>

<file path=xl/ctrlProps/ctrlProp358.xml><?xml version="1.0" encoding="utf-8"?>
<formControlPr xmlns="http://schemas.microsoft.com/office/spreadsheetml/2009/9/main" objectType="Spin" dx="15" fmlaLink="PedBerTPN!$E$4" max="4000" page="10" val="0"/>
</file>

<file path=xl/ctrlProps/ctrlProp359.xml><?xml version="1.0" encoding="utf-8"?>
<formControlPr xmlns="http://schemas.microsoft.com/office/spreadsheetml/2009/9/main" objectType="Spin" dx="15" fmlaLink="PedBerEnt!$J$3" max="12" min="1" page="10"/>
</file>

<file path=xl/ctrlProps/ctrlProp360.xml><?xml version="1.0" encoding="utf-8"?>
<formControlPr xmlns="http://schemas.microsoft.com/office/spreadsheetml/2009/9/main" objectType="Spin" dx="15" fmlaLink="PedBerEnt!$K$3" max="100" page="10" val="0"/>
</file>

<file path=xl/ctrlProps/ctrlProp361.xml><?xml version="1.0" encoding="utf-8"?>
<formControlPr xmlns="http://schemas.microsoft.com/office/spreadsheetml/2009/9/main" objectType="Drop" dropStyle="combo" dx="16" fmlaLink="PedBerEnt!$N$3" fmlaRange="tblPoeder" sel="0" val="5"/>
</file>

<file path=xl/ctrlProps/ctrlProp362.xml><?xml version="1.0" encoding="utf-8"?>
<formControlPr xmlns="http://schemas.microsoft.com/office/spreadsheetml/2009/9/main" objectType="Spin" dx="15" fmlaLink="PedBerTPN!$E$5" max="15" page="10" val="0"/>
</file>

<file path=xl/ctrlProps/ctrlProp363.xml><?xml version="1.0" encoding="utf-8"?>
<formControlPr xmlns="http://schemas.microsoft.com/office/spreadsheetml/2009/9/main" objectType="Spin" dx="15" fmlaLink="PedBerEnt!$J$4" max="12" min="1" page="10"/>
</file>

<file path=xl/ctrlProps/ctrlProp364.xml><?xml version="1.0" encoding="utf-8"?>
<formControlPr xmlns="http://schemas.microsoft.com/office/spreadsheetml/2009/9/main" objectType="Spin" dx="15" fmlaLink="PedBerEnt!$K$4" max="100" page="10" val="0"/>
</file>

<file path=xl/ctrlProps/ctrlProp365.xml><?xml version="1.0" encoding="utf-8"?>
<formControlPr xmlns="http://schemas.microsoft.com/office/spreadsheetml/2009/9/main" objectType="Drop" dropStyle="combo" dx="16" fmlaLink="PedBerEnt!$N$4" fmlaRange="tblPoeder" sel="0" val="0"/>
</file>

<file path=xl/ctrlProps/ctrlProp366.xml><?xml version="1.0" encoding="utf-8"?>
<formControlPr xmlns="http://schemas.microsoft.com/office/spreadsheetml/2009/9/main" objectType="Spin" dx="15" fmlaLink="PedBerEnt!$J$5" max="12" min="1" page="10"/>
</file>

<file path=xl/ctrlProps/ctrlProp367.xml><?xml version="1.0" encoding="utf-8"?>
<formControlPr xmlns="http://schemas.microsoft.com/office/spreadsheetml/2009/9/main" objectType="Spin" dx="15" fmlaLink="PedBerEnt!$K$5" max="100" page="10" val="0"/>
</file>

<file path=xl/ctrlProps/ctrlProp368.xml><?xml version="1.0" encoding="utf-8"?>
<formControlPr xmlns="http://schemas.microsoft.com/office/spreadsheetml/2009/9/main" objectType="Drop" dropStyle="combo" dx="16" fmlaLink="PedBerEnt!$N$5" fmlaRange="tblPoeder" sel="0" val="0"/>
</file>

<file path=xl/ctrlProps/ctrlProp369.xml><?xml version="1.0" encoding="utf-8"?>
<formControlPr xmlns="http://schemas.microsoft.com/office/spreadsheetml/2009/9/main" objectType="Spin" dx="15" fmlaLink="PedBerTPN!$D$19" max="200" page="10" val="0"/>
</file>

<file path=xl/ctrlProps/ctrlProp370.xml><?xml version="1.0" encoding="utf-8"?>
<formControlPr xmlns="http://schemas.microsoft.com/office/spreadsheetml/2009/9/main" objectType="Spin" dx="15" fmlaLink="PedBerTPN!$E$21" max="1000" min="1" page="10"/>
</file>

<file path=xl/ctrlProps/ctrlProp371.xml><?xml version="1.0" encoding="utf-8"?>
<formControlPr xmlns="http://schemas.microsoft.com/office/spreadsheetml/2009/9/main" objectType="Spin" dx="15" fmlaLink="PedBerTPN!$E$22" max="200" min="1" page="10"/>
</file>

<file path=xl/ctrlProps/ctrlProp372.xml><?xml version="1.0" encoding="utf-8"?>
<formControlPr xmlns="http://schemas.microsoft.com/office/spreadsheetml/2009/9/main" objectType="CheckBox" fmlaLink="PedBerTPN!$C$21" lockText="1"/>
</file>

<file path=xl/ctrlProps/ctrlProp373.xml><?xml version="1.0" encoding="utf-8"?>
<formControlPr xmlns="http://schemas.microsoft.com/office/spreadsheetml/2009/9/main" objectType="CheckBox" fmlaLink="PedBerTPN!$C$22" lockText="1"/>
</file>

<file path=xl/ctrlProps/ctrlProp374.xml><?xml version="1.0" encoding="utf-8"?>
<formControlPr xmlns="http://schemas.microsoft.com/office/spreadsheetml/2009/9/main" objectType="Drop" dropStyle="combo" dx="16" fmlaLink="PedBerTPN!$B$20" fmlaRange="tblSSTGlucose" sel="1" val="5"/>
</file>

<file path=xl/ctrlProps/ctrlProp375.xml><?xml version="1.0" encoding="utf-8"?>
<formControlPr xmlns="http://schemas.microsoft.com/office/spreadsheetml/2009/9/main" objectType="Spin" dx="15" fmlaLink="PatDetails!$H$2" max="200" min="25" page="10" val="80"/>
</file>

<file path=xl/ctrlProps/ctrlProp376.xml><?xml version="1.0" encoding="utf-8"?>
<formControlPr xmlns="http://schemas.microsoft.com/office/spreadsheetml/2009/9/main" objectType="CheckBox" fmlaLink="PedBerTPN!$C$15" lockText="1"/>
</file>

<file path=xl/ctrlProps/ctrlProp377.xml><?xml version="1.0" encoding="utf-8"?>
<formControlPr xmlns="http://schemas.microsoft.com/office/spreadsheetml/2009/9/main" objectType="CheckBox" fmlaLink="PedBerLab!$C$4" lockText="1"/>
</file>

<file path=xl/ctrlProps/ctrlProp378.xml><?xml version="1.0" encoding="utf-8"?>
<formControlPr xmlns="http://schemas.microsoft.com/office/spreadsheetml/2009/9/main" objectType="CheckBox" fmlaLink="PedBerLab!C5" lockText="1"/>
</file>

<file path=xl/ctrlProps/ctrlProp379.xml><?xml version="1.0" encoding="utf-8"?>
<formControlPr xmlns="http://schemas.microsoft.com/office/spreadsheetml/2009/9/main" objectType="CheckBox" fmlaLink="PedBerLab!C7" lockText="1"/>
</file>

<file path=xl/ctrlProps/ctrlProp380.xml><?xml version="1.0" encoding="utf-8"?>
<formControlPr xmlns="http://schemas.microsoft.com/office/spreadsheetml/2009/9/main" objectType="CheckBox" fmlaLink="PedBerLab!C8" lockText="1"/>
</file>

<file path=xl/ctrlProps/ctrlProp381.xml><?xml version="1.0" encoding="utf-8"?>
<formControlPr xmlns="http://schemas.microsoft.com/office/spreadsheetml/2009/9/main" objectType="CheckBox" fmlaLink="PedBerLab!C13" lockText="1"/>
</file>

<file path=xl/ctrlProps/ctrlProp382.xml><?xml version="1.0" encoding="utf-8"?>
<formControlPr xmlns="http://schemas.microsoft.com/office/spreadsheetml/2009/9/main" objectType="CheckBox" fmlaLink="PedBerLab!C12" lockText="1"/>
</file>

<file path=xl/ctrlProps/ctrlProp383.xml><?xml version="1.0" encoding="utf-8"?>
<formControlPr xmlns="http://schemas.microsoft.com/office/spreadsheetml/2009/9/main" objectType="CheckBox" fmlaLink="PedBerLab!C30" lockText="1"/>
</file>

<file path=xl/ctrlProps/ctrlProp384.xml><?xml version="1.0" encoding="utf-8"?>
<formControlPr xmlns="http://schemas.microsoft.com/office/spreadsheetml/2009/9/main" objectType="CheckBox" fmlaLink="PedBerLab!C15" lockText="1"/>
</file>

<file path=xl/ctrlProps/ctrlProp385.xml><?xml version="1.0" encoding="utf-8"?>
<formControlPr xmlns="http://schemas.microsoft.com/office/spreadsheetml/2009/9/main" objectType="CheckBox" fmlaLink="PedBerLab!C18" lockText="1"/>
</file>

<file path=xl/ctrlProps/ctrlProp386.xml><?xml version="1.0" encoding="utf-8"?>
<formControlPr xmlns="http://schemas.microsoft.com/office/spreadsheetml/2009/9/main" objectType="CheckBox" fmlaLink="PedBerLab!C19" lockText="1"/>
</file>

<file path=xl/ctrlProps/ctrlProp387.xml><?xml version="1.0" encoding="utf-8"?>
<formControlPr xmlns="http://schemas.microsoft.com/office/spreadsheetml/2009/9/main" objectType="CheckBox" fmlaLink="PedBerLab!C20" lockText="1"/>
</file>

<file path=xl/ctrlProps/ctrlProp388.xml><?xml version="1.0" encoding="utf-8"?>
<formControlPr xmlns="http://schemas.microsoft.com/office/spreadsheetml/2009/9/main" objectType="CheckBox" fmlaLink="PedBerLab!C11" lockText="1"/>
</file>

<file path=xl/ctrlProps/ctrlProp389.xml><?xml version="1.0" encoding="utf-8"?>
<formControlPr xmlns="http://schemas.microsoft.com/office/spreadsheetml/2009/9/main" objectType="CheckBox" fmlaLink="PedBerLab!$C$28" lockText="1"/>
</file>

<file path=xl/ctrlProps/ctrlProp390.xml><?xml version="1.0" encoding="utf-8"?>
<formControlPr xmlns="http://schemas.microsoft.com/office/spreadsheetml/2009/9/main" objectType="CheckBox" fmlaLink="PedBerLab!$G$4" lockText="1"/>
</file>

<file path=xl/ctrlProps/ctrlProp391.xml><?xml version="1.0" encoding="utf-8"?>
<formControlPr xmlns="http://schemas.microsoft.com/office/spreadsheetml/2009/9/main" objectType="CheckBox" fmlaLink="PedBerLab!$G$5" lockText="1"/>
</file>

<file path=xl/ctrlProps/ctrlProp392.xml><?xml version="1.0" encoding="utf-8"?>
<formControlPr xmlns="http://schemas.microsoft.com/office/spreadsheetml/2009/9/main" objectType="CheckBox" fmlaLink="PedBerLab!$G$7" lockText="1"/>
</file>

<file path=xl/ctrlProps/ctrlProp393.xml><?xml version="1.0" encoding="utf-8"?>
<formControlPr xmlns="http://schemas.microsoft.com/office/spreadsheetml/2009/9/main" objectType="CheckBox" fmlaLink="PedBerLab!$G$8" lockText="1"/>
</file>

<file path=xl/ctrlProps/ctrlProp394.xml><?xml version="1.0" encoding="utf-8"?>
<formControlPr xmlns="http://schemas.microsoft.com/office/spreadsheetml/2009/9/main" objectType="CheckBox" fmlaLink="PedBerLab!$G$13" lockText="1"/>
</file>

<file path=xl/ctrlProps/ctrlProp395.xml><?xml version="1.0" encoding="utf-8"?>
<formControlPr xmlns="http://schemas.microsoft.com/office/spreadsheetml/2009/9/main" objectType="CheckBox" fmlaLink="PedBerLab!$G$12" lockText="1"/>
</file>

<file path=xl/ctrlProps/ctrlProp396.xml><?xml version="1.0" encoding="utf-8"?>
<formControlPr xmlns="http://schemas.microsoft.com/office/spreadsheetml/2009/9/main" objectType="CheckBox" fmlaLink="PedBerLab!$G$30" lockText="1"/>
</file>

<file path=xl/ctrlProps/ctrlProp397.xml><?xml version="1.0" encoding="utf-8"?>
<formControlPr xmlns="http://schemas.microsoft.com/office/spreadsheetml/2009/9/main" objectType="CheckBox" fmlaLink="PedBerLab!$G$15" lockText="1"/>
</file>

<file path=xl/ctrlProps/ctrlProp398.xml><?xml version="1.0" encoding="utf-8"?>
<formControlPr xmlns="http://schemas.microsoft.com/office/spreadsheetml/2009/9/main" objectType="CheckBox" fmlaLink="PedBerLab!$G$18" lockText="1"/>
</file>

<file path=xl/ctrlProps/ctrlProp399.xml><?xml version="1.0" encoding="utf-8"?>
<formControlPr xmlns="http://schemas.microsoft.com/office/spreadsheetml/2009/9/main" objectType="CheckBox" fmlaLink="PedBerLab!$G$19" lockText="1"/>
</file>

<file path=xl/ctrlProps/ctrlProp400.xml><?xml version="1.0" encoding="utf-8"?>
<formControlPr xmlns="http://schemas.microsoft.com/office/spreadsheetml/2009/9/main" objectType="CheckBox" fmlaLink="PedBerLab!$G$20" lockText="1"/>
</file>

<file path=xl/ctrlProps/ctrlProp401.xml><?xml version="1.0" encoding="utf-8"?>
<formControlPr xmlns="http://schemas.microsoft.com/office/spreadsheetml/2009/9/main" objectType="CheckBox" fmlaLink="PedBerLab!$G$11" lockText="1"/>
</file>

<file path=xl/ctrlProps/ctrlProp402.xml><?xml version="1.0" encoding="utf-8"?>
<formControlPr xmlns="http://schemas.microsoft.com/office/spreadsheetml/2009/9/main" objectType="CheckBox" fmlaLink="PedBerLab!$G$28" lockText="1"/>
</file>

<file path=xl/ctrlProps/ctrlProp403.xml><?xml version="1.0" encoding="utf-8"?>
<formControlPr xmlns="http://schemas.microsoft.com/office/spreadsheetml/2009/9/main" objectType="CheckBox" fmlaLink="PedBerLab!$I$4" lockText="1"/>
</file>

<file path=xl/ctrlProps/ctrlProp404.xml><?xml version="1.0" encoding="utf-8"?>
<formControlPr xmlns="http://schemas.microsoft.com/office/spreadsheetml/2009/9/main" objectType="CheckBox" fmlaLink="PedBerLab!$I$5" lockText="1"/>
</file>

<file path=xl/ctrlProps/ctrlProp405.xml><?xml version="1.0" encoding="utf-8"?>
<formControlPr xmlns="http://schemas.microsoft.com/office/spreadsheetml/2009/9/main" objectType="CheckBox" fmlaLink="PedBerLab!$I$7" lockText="1"/>
</file>

<file path=xl/ctrlProps/ctrlProp406.xml><?xml version="1.0" encoding="utf-8"?>
<formControlPr xmlns="http://schemas.microsoft.com/office/spreadsheetml/2009/9/main" objectType="CheckBox" fmlaLink="PedBerLab!$I$8" lockText="1"/>
</file>

<file path=xl/ctrlProps/ctrlProp407.xml><?xml version="1.0" encoding="utf-8"?>
<formControlPr xmlns="http://schemas.microsoft.com/office/spreadsheetml/2009/9/main" objectType="CheckBox" fmlaLink="PedBerLab!$I$13" lockText="1"/>
</file>

<file path=xl/ctrlProps/ctrlProp408.xml><?xml version="1.0" encoding="utf-8"?>
<formControlPr xmlns="http://schemas.microsoft.com/office/spreadsheetml/2009/9/main" objectType="CheckBox" fmlaLink="PedBerLab!$I$12" lockText="1"/>
</file>

<file path=xl/ctrlProps/ctrlProp409.xml><?xml version="1.0" encoding="utf-8"?>
<formControlPr xmlns="http://schemas.microsoft.com/office/spreadsheetml/2009/9/main" objectType="CheckBox" fmlaLink="PedBerLab!$I$30" lockText="1"/>
</file>

<file path=xl/ctrlProps/ctrlProp410.xml><?xml version="1.0" encoding="utf-8"?>
<formControlPr xmlns="http://schemas.microsoft.com/office/spreadsheetml/2009/9/main" objectType="CheckBox" fmlaLink="PedBerLab!$I$15" lockText="1"/>
</file>

<file path=xl/ctrlProps/ctrlProp411.xml><?xml version="1.0" encoding="utf-8"?>
<formControlPr xmlns="http://schemas.microsoft.com/office/spreadsheetml/2009/9/main" objectType="CheckBox" fmlaLink="PedBerLab!$I$18" lockText="1"/>
</file>

<file path=xl/ctrlProps/ctrlProp412.xml><?xml version="1.0" encoding="utf-8"?>
<formControlPr xmlns="http://schemas.microsoft.com/office/spreadsheetml/2009/9/main" objectType="CheckBox" fmlaLink="PedBerLab!$I$19" lockText="1"/>
</file>

<file path=xl/ctrlProps/ctrlProp413.xml><?xml version="1.0" encoding="utf-8"?>
<formControlPr xmlns="http://schemas.microsoft.com/office/spreadsheetml/2009/9/main" objectType="CheckBox" fmlaLink="PedBerLab!$I$20" lockText="1"/>
</file>

<file path=xl/ctrlProps/ctrlProp414.xml><?xml version="1.0" encoding="utf-8"?>
<formControlPr xmlns="http://schemas.microsoft.com/office/spreadsheetml/2009/9/main" objectType="CheckBox" fmlaLink="PedBerLab!$I$11" lockText="1"/>
</file>

<file path=xl/ctrlProps/ctrlProp415.xml><?xml version="1.0" encoding="utf-8"?>
<formControlPr xmlns="http://schemas.microsoft.com/office/spreadsheetml/2009/9/main" objectType="CheckBox" fmlaLink="PedBerLab!$I$28" lockText="1"/>
</file>

<file path=xl/ctrlProps/ctrlProp416.xml><?xml version="1.0" encoding="utf-8"?>
<formControlPr xmlns="http://schemas.microsoft.com/office/spreadsheetml/2009/9/main" objectType="CheckBox" fmlaLink="PedBerLab!$L$4" lockText="1"/>
</file>

<file path=xl/ctrlProps/ctrlProp417.xml><?xml version="1.0" encoding="utf-8"?>
<formControlPr xmlns="http://schemas.microsoft.com/office/spreadsheetml/2009/9/main" objectType="CheckBox" fmlaLink="PedBerLab!$L$5" lockText="1"/>
</file>

<file path=xl/ctrlProps/ctrlProp418.xml><?xml version="1.0" encoding="utf-8"?>
<formControlPr xmlns="http://schemas.microsoft.com/office/spreadsheetml/2009/9/main" objectType="CheckBox" fmlaLink="PedBerLab!$L$7" lockText="1"/>
</file>

<file path=xl/ctrlProps/ctrlProp419.xml><?xml version="1.0" encoding="utf-8"?>
<formControlPr xmlns="http://schemas.microsoft.com/office/spreadsheetml/2009/9/main" objectType="CheckBox" fmlaLink="PedBerLab!$L$8" lockText="1"/>
</file>

<file path=xl/ctrlProps/ctrlProp420.xml><?xml version="1.0" encoding="utf-8"?>
<formControlPr xmlns="http://schemas.microsoft.com/office/spreadsheetml/2009/9/main" objectType="CheckBox" fmlaLink="PedBerLab!$L$13" lockText="1"/>
</file>

<file path=xl/ctrlProps/ctrlProp421.xml><?xml version="1.0" encoding="utf-8"?>
<formControlPr xmlns="http://schemas.microsoft.com/office/spreadsheetml/2009/9/main" objectType="CheckBox" fmlaLink="PedBerLab!$L$12" lockText="1"/>
</file>

<file path=xl/ctrlProps/ctrlProp422.xml><?xml version="1.0" encoding="utf-8"?>
<formControlPr xmlns="http://schemas.microsoft.com/office/spreadsheetml/2009/9/main" objectType="CheckBox" fmlaLink="PedBerLab!$L$30" lockText="1"/>
</file>

<file path=xl/ctrlProps/ctrlProp423.xml><?xml version="1.0" encoding="utf-8"?>
<formControlPr xmlns="http://schemas.microsoft.com/office/spreadsheetml/2009/9/main" objectType="CheckBox" fmlaLink="PedBerLab!$L$15" lockText="1"/>
</file>

<file path=xl/ctrlProps/ctrlProp424.xml><?xml version="1.0" encoding="utf-8"?>
<formControlPr xmlns="http://schemas.microsoft.com/office/spreadsheetml/2009/9/main" objectType="CheckBox" fmlaLink="PedBerLab!$L$18" lockText="1"/>
</file>

<file path=xl/ctrlProps/ctrlProp425.xml><?xml version="1.0" encoding="utf-8"?>
<formControlPr xmlns="http://schemas.microsoft.com/office/spreadsheetml/2009/9/main" objectType="CheckBox" fmlaLink="PedBerLab!$L$19" lockText="1"/>
</file>

<file path=xl/ctrlProps/ctrlProp426.xml><?xml version="1.0" encoding="utf-8"?>
<formControlPr xmlns="http://schemas.microsoft.com/office/spreadsheetml/2009/9/main" objectType="CheckBox" fmlaLink="PedBerLab!$L$20" lockText="1"/>
</file>

<file path=xl/ctrlProps/ctrlProp427.xml><?xml version="1.0" encoding="utf-8"?>
<formControlPr xmlns="http://schemas.microsoft.com/office/spreadsheetml/2009/9/main" objectType="CheckBox" fmlaLink="PedBerLab!$L$11" lockText="1"/>
</file>

<file path=xl/ctrlProps/ctrlProp428.xml><?xml version="1.0" encoding="utf-8"?>
<formControlPr xmlns="http://schemas.microsoft.com/office/spreadsheetml/2009/9/main" objectType="CheckBox" fmlaLink="PedBerLab!$L$28" lockText="1"/>
</file>

<file path=xl/ctrlProps/ctrlProp429.xml><?xml version="1.0" encoding="utf-8"?>
<formControlPr xmlns="http://schemas.microsoft.com/office/spreadsheetml/2009/9/main" objectType="CheckBox" fmlaLink="PedBerLab!$C$27" lockText="1"/>
</file>

<file path=xl/ctrlProps/ctrlProp430.xml><?xml version="1.0" encoding="utf-8"?>
<formControlPr xmlns="http://schemas.microsoft.com/office/spreadsheetml/2009/9/main" objectType="CheckBox" fmlaLink="PedBerLab!$G$27" lockText="1"/>
</file>

<file path=xl/ctrlProps/ctrlProp431.xml><?xml version="1.0" encoding="utf-8"?>
<formControlPr xmlns="http://schemas.microsoft.com/office/spreadsheetml/2009/9/main" objectType="CheckBox" fmlaLink="PedBerLab!$I$27" lockText="1"/>
</file>

<file path=xl/ctrlProps/ctrlProp432.xml><?xml version="1.0" encoding="utf-8"?>
<formControlPr xmlns="http://schemas.microsoft.com/office/spreadsheetml/2009/9/main" objectType="CheckBox" fmlaLink="PedBerLab!$L$27" lockText="1"/>
</file>

<file path=xl/ctrlProps/ctrlProp433.xml><?xml version="1.0" encoding="utf-8"?>
<formControlPr xmlns="http://schemas.microsoft.com/office/spreadsheetml/2009/9/main" objectType="CheckBox" fmlaLink="PedBerLab!C6" lockText="1"/>
</file>

<file path=xl/ctrlProps/ctrlProp434.xml><?xml version="1.0" encoding="utf-8"?>
<formControlPr xmlns="http://schemas.microsoft.com/office/spreadsheetml/2009/9/main" objectType="CheckBox" fmlaLink="PedBerLab!$G$6" lockText="1"/>
</file>

<file path=xl/ctrlProps/ctrlProp435.xml><?xml version="1.0" encoding="utf-8"?>
<formControlPr xmlns="http://schemas.microsoft.com/office/spreadsheetml/2009/9/main" objectType="CheckBox" fmlaLink="PedBerLab!$I$6" lockText="1"/>
</file>

<file path=xl/ctrlProps/ctrlProp436.xml><?xml version="1.0" encoding="utf-8"?>
<formControlPr xmlns="http://schemas.microsoft.com/office/spreadsheetml/2009/9/main" objectType="CheckBox" fmlaLink="PedBerLab!$L$6" lockText="1"/>
</file>

<file path=xl/ctrlProps/ctrlProp437.xml><?xml version="1.0" encoding="utf-8"?>
<formControlPr xmlns="http://schemas.microsoft.com/office/spreadsheetml/2009/9/main" objectType="CheckBox" fmlaLink="PedBerLab!$C$16" lockText="1"/>
</file>

<file path=xl/ctrlProps/ctrlProp438.xml><?xml version="1.0" encoding="utf-8"?>
<formControlPr xmlns="http://schemas.microsoft.com/office/spreadsheetml/2009/9/main" objectType="CheckBox" fmlaLink="PedBerLab!$G$16" lockText="1"/>
</file>

<file path=xl/ctrlProps/ctrlProp439.xml><?xml version="1.0" encoding="utf-8"?>
<formControlPr xmlns="http://schemas.microsoft.com/office/spreadsheetml/2009/9/main" objectType="CheckBox" fmlaLink="PedBerLab!$I$16" lockText="1"/>
</file>

<file path=xl/ctrlProps/ctrlProp440.xml><?xml version="1.0" encoding="utf-8"?>
<formControlPr xmlns="http://schemas.microsoft.com/office/spreadsheetml/2009/9/main" objectType="CheckBox" fmlaLink="PedBerLab!$L$16" lockText="1"/>
</file>

<file path=xl/ctrlProps/ctrlProp441.xml><?xml version="1.0" encoding="utf-8"?>
<formControlPr xmlns="http://schemas.microsoft.com/office/spreadsheetml/2009/9/main" objectType="CheckBox" fmlaLink="PedBerLab!$E$4" lockText="1"/>
</file>

<file path=xl/ctrlProps/ctrlProp442.xml><?xml version="1.0" encoding="utf-8"?>
<formControlPr xmlns="http://schemas.microsoft.com/office/spreadsheetml/2009/9/main" objectType="CheckBox" fmlaLink="PedBerLab!$E$5" lockText="1"/>
</file>

<file path=xl/ctrlProps/ctrlProp443.xml><?xml version="1.0" encoding="utf-8"?>
<formControlPr xmlns="http://schemas.microsoft.com/office/spreadsheetml/2009/9/main" objectType="CheckBox" fmlaLink="PedBerLab!$E$7" lockText="1"/>
</file>

<file path=xl/ctrlProps/ctrlProp444.xml><?xml version="1.0" encoding="utf-8"?>
<formControlPr xmlns="http://schemas.microsoft.com/office/spreadsheetml/2009/9/main" objectType="CheckBox" fmlaLink="PedBerLab!$E$8" lockText="1"/>
</file>

<file path=xl/ctrlProps/ctrlProp445.xml><?xml version="1.0" encoding="utf-8"?>
<formControlPr xmlns="http://schemas.microsoft.com/office/spreadsheetml/2009/9/main" objectType="CheckBox" fmlaLink="PedBerLab!$E$13" lockText="1"/>
</file>

<file path=xl/ctrlProps/ctrlProp446.xml><?xml version="1.0" encoding="utf-8"?>
<formControlPr xmlns="http://schemas.microsoft.com/office/spreadsheetml/2009/9/main" objectType="CheckBox" fmlaLink="PedBerLab!$E$12" lockText="1"/>
</file>

<file path=xl/ctrlProps/ctrlProp447.xml><?xml version="1.0" encoding="utf-8"?>
<formControlPr xmlns="http://schemas.microsoft.com/office/spreadsheetml/2009/9/main" objectType="CheckBox" fmlaLink="PedBerLab!$E$30" lockText="1"/>
</file>

<file path=xl/ctrlProps/ctrlProp448.xml><?xml version="1.0" encoding="utf-8"?>
<formControlPr xmlns="http://schemas.microsoft.com/office/spreadsheetml/2009/9/main" objectType="CheckBox" fmlaLink="PedBerLab!$E$15" lockText="1"/>
</file>

<file path=xl/ctrlProps/ctrlProp449.xml><?xml version="1.0" encoding="utf-8"?>
<formControlPr xmlns="http://schemas.microsoft.com/office/spreadsheetml/2009/9/main" objectType="CheckBox" fmlaLink="PedBerLab!$E$18" lockText="1"/>
</file>

<file path=xl/ctrlProps/ctrlProp450.xml><?xml version="1.0" encoding="utf-8"?>
<formControlPr xmlns="http://schemas.microsoft.com/office/spreadsheetml/2009/9/main" objectType="CheckBox" fmlaLink="PedBerLab!$E$19" lockText="1"/>
</file>

<file path=xl/ctrlProps/ctrlProp451.xml><?xml version="1.0" encoding="utf-8"?>
<formControlPr xmlns="http://schemas.microsoft.com/office/spreadsheetml/2009/9/main" objectType="CheckBox" fmlaLink="PedBerLab!$E$20" lockText="1"/>
</file>

<file path=xl/ctrlProps/ctrlProp452.xml><?xml version="1.0" encoding="utf-8"?>
<formControlPr xmlns="http://schemas.microsoft.com/office/spreadsheetml/2009/9/main" objectType="CheckBox" fmlaLink="PedBerLab!$E$11" lockText="1"/>
</file>

<file path=xl/ctrlProps/ctrlProp453.xml><?xml version="1.0" encoding="utf-8"?>
<formControlPr xmlns="http://schemas.microsoft.com/office/spreadsheetml/2009/9/main" objectType="CheckBox" fmlaLink="PedBerLab!$E$28" lockText="1"/>
</file>

<file path=xl/ctrlProps/ctrlProp454.xml><?xml version="1.0" encoding="utf-8"?>
<formControlPr xmlns="http://schemas.microsoft.com/office/spreadsheetml/2009/9/main" objectType="CheckBox" fmlaLink="PedBerLab!$E$27" lockText="1"/>
</file>

<file path=xl/ctrlProps/ctrlProp455.xml><?xml version="1.0" encoding="utf-8"?>
<formControlPr xmlns="http://schemas.microsoft.com/office/spreadsheetml/2009/9/main" objectType="CheckBox" fmlaLink="PedBerLab!$E$6" lockText="1"/>
</file>

<file path=xl/ctrlProps/ctrlProp456.xml><?xml version="1.0" encoding="utf-8"?>
<formControlPr xmlns="http://schemas.microsoft.com/office/spreadsheetml/2009/9/main" objectType="CheckBox" fmlaLink="PedBerLab!$E$16" lockText="1"/>
</file>

<file path=xl/ctrlProps/ctrlProp457.xml><?xml version="1.0" encoding="utf-8"?>
<formControlPr xmlns="http://schemas.microsoft.com/office/spreadsheetml/2009/9/main" objectType="CheckBox" fmlaLink="PedBerLab!$C$26" lockText="1"/>
</file>

<file path=xl/ctrlProps/ctrlProp458.xml><?xml version="1.0" encoding="utf-8"?>
<formControlPr xmlns="http://schemas.microsoft.com/office/spreadsheetml/2009/9/main" objectType="CheckBox" fmlaLink="PedBerLab!$G$26" lockText="1"/>
</file>

<file path=xl/ctrlProps/ctrlProp459.xml><?xml version="1.0" encoding="utf-8"?>
<formControlPr xmlns="http://schemas.microsoft.com/office/spreadsheetml/2009/9/main" objectType="CheckBox" fmlaLink="PedBerLab!$I$26" lockText="1"/>
</file>

<file path=xl/ctrlProps/ctrlProp460.xml><?xml version="1.0" encoding="utf-8"?>
<formControlPr xmlns="http://schemas.microsoft.com/office/spreadsheetml/2009/9/main" objectType="CheckBox" fmlaLink="PedBerLab!$L$26" lockText="1"/>
</file>

<file path=xl/ctrlProps/ctrlProp461.xml><?xml version="1.0" encoding="utf-8"?>
<formControlPr xmlns="http://schemas.microsoft.com/office/spreadsheetml/2009/9/main" objectType="CheckBox" fmlaLink="PedBerLab!$E$26" lockText="1"/>
</file>

<file path=xl/ctrlProps/ctrlProp462.xml><?xml version="1.0" encoding="utf-8"?>
<formControlPr xmlns="http://schemas.microsoft.com/office/spreadsheetml/2009/9/main" objectType="CheckBox" fmlaLink="PedBerLab!$C$32" lockText="1"/>
</file>

<file path=xl/ctrlProps/ctrlProp463.xml><?xml version="1.0" encoding="utf-8"?>
<formControlPr xmlns="http://schemas.microsoft.com/office/spreadsheetml/2009/9/main" objectType="CheckBox" fmlaLink="PedBerLab!$G$32" lockText="1"/>
</file>

<file path=xl/ctrlProps/ctrlProp464.xml><?xml version="1.0" encoding="utf-8"?>
<formControlPr xmlns="http://schemas.microsoft.com/office/spreadsheetml/2009/9/main" objectType="CheckBox" fmlaLink="PedBerLab!$I$32" lockText="1"/>
</file>

<file path=xl/ctrlProps/ctrlProp465.xml><?xml version="1.0" encoding="utf-8"?>
<formControlPr xmlns="http://schemas.microsoft.com/office/spreadsheetml/2009/9/main" objectType="CheckBox" fmlaLink="PedBerLab!$L$32" lockText="1"/>
</file>

<file path=xl/ctrlProps/ctrlProp466.xml><?xml version="1.0" encoding="utf-8"?>
<formControlPr xmlns="http://schemas.microsoft.com/office/spreadsheetml/2009/9/main" objectType="CheckBox" fmlaLink="PedBerLab!$E$32" lockText="1"/>
</file>

<file path=xl/ctrlProps/ctrlProp467.xml><?xml version="1.0" encoding="utf-8"?>
<formControlPr xmlns="http://schemas.microsoft.com/office/spreadsheetml/2009/9/main" objectType="CheckBox" fmlaLink="PedBerLab!$C$9" lockText="1"/>
</file>

<file path=xl/ctrlProps/ctrlProp468.xml><?xml version="1.0" encoding="utf-8"?>
<formControlPr xmlns="http://schemas.microsoft.com/office/spreadsheetml/2009/9/main" objectType="CheckBox" fmlaLink="PedBerLab!$G$9" lockText="1"/>
</file>

<file path=xl/ctrlProps/ctrlProp469.xml><?xml version="1.0" encoding="utf-8"?>
<formControlPr xmlns="http://schemas.microsoft.com/office/spreadsheetml/2009/9/main" objectType="CheckBox" fmlaLink="PedBerLab!$I$9" lockText="1"/>
</file>

<file path=xl/ctrlProps/ctrlProp470.xml><?xml version="1.0" encoding="utf-8"?>
<formControlPr xmlns="http://schemas.microsoft.com/office/spreadsheetml/2009/9/main" objectType="CheckBox" fmlaLink="PedBerLab!$L$9" lockText="1"/>
</file>

<file path=xl/ctrlProps/ctrlProp471.xml><?xml version="1.0" encoding="utf-8"?>
<formControlPr xmlns="http://schemas.microsoft.com/office/spreadsheetml/2009/9/main" objectType="CheckBox" fmlaLink="PedBerLab!$E$9" lockText="1"/>
</file>

<file path=xl/ctrlProps/ctrlProp472.xml><?xml version="1.0" encoding="utf-8"?>
<formControlPr xmlns="http://schemas.microsoft.com/office/spreadsheetml/2009/9/main" objectType="CheckBox" fmlaLink="PedBerLab!$C$10" lockText="1"/>
</file>

<file path=xl/ctrlProps/ctrlProp473.xml><?xml version="1.0" encoding="utf-8"?>
<formControlPr xmlns="http://schemas.microsoft.com/office/spreadsheetml/2009/9/main" objectType="CheckBox" fmlaLink="PedBerLab!$G$10" lockText="1"/>
</file>

<file path=xl/ctrlProps/ctrlProp474.xml><?xml version="1.0" encoding="utf-8"?>
<formControlPr xmlns="http://schemas.microsoft.com/office/spreadsheetml/2009/9/main" objectType="CheckBox" fmlaLink="PedBerLab!$I$10" lockText="1"/>
</file>

<file path=xl/ctrlProps/ctrlProp475.xml><?xml version="1.0" encoding="utf-8"?>
<formControlPr xmlns="http://schemas.microsoft.com/office/spreadsheetml/2009/9/main" objectType="CheckBox" fmlaLink="PedBerLab!$L$10" lockText="1"/>
</file>

<file path=xl/ctrlProps/ctrlProp476.xml><?xml version="1.0" encoding="utf-8"?>
<formControlPr xmlns="http://schemas.microsoft.com/office/spreadsheetml/2009/9/main" objectType="CheckBox" fmlaLink="PedBerLab!$E$10" lockText="1"/>
</file>

<file path=xl/ctrlProps/ctrlProp477.xml><?xml version="1.0" encoding="utf-8"?>
<formControlPr xmlns="http://schemas.microsoft.com/office/spreadsheetml/2009/9/main" objectType="CheckBox" fmlaLink="PedBerLab!$C$14" lockText="1"/>
</file>

<file path=xl/ctrlProps/ctrlProp478.xml><?xml version="1.0" encoding="utf-8"?>
<formControlPr xmlns="http://schemas.microsoft.com/office/spreadsheetml/2009/9/main" objectType="CheckBox" fmlaLink="PedBerLab!$G$14" lockText="1"/>
</file>

<file path=xl/ctrlProps/ctrlProp479.xml><?xml version="1.0" encoding="utf-8"?>
<formControlPr xmlns="http://schemas.microsoft.com/office/spreadsheetml/2009/9/main" objectType="CheckBox" fmlaLink="PedBerLab!$I$14" lockText="1"/>
</file>

<file path=xl/ctrlProps/ctrlProp480.xml><?xml version="1.0" encoding="utf-8"?>
<formControlPr xmlns="http://schemas.microsoft.com/office/spreadsheetml/2009/9/main" objectType="CheckBox" fmlaLink="PedBerLab!$L$14" lockText="1"/>
</file>

<file path=xl/ctrlProps/ctrlProp481.xml><?xml version="1.0" encoding="utf-8"?>
<formControlPr xmlns="http://schemas.microsoft.com/office/spreadsheetml/2009/9/main" objectType="CheckBox" fmlaLink="PedBerLab!$E$14" lockText="1"/>
</file>

<file path=xl/ctrlProps/ctrlProp482.xml><?xml version="1.0" encoding="utf-8"?>
<formControlPr xmlns="http://schemas.microsoft.com/office/spreadsheetml/2009/9/main" objectType="CheckBox" fmlaLink="PedBerLab!$C$21" lockText="1"/>
</file>

<file path=xl/ctrlProps/ctrlProp483.xml><?xml version="1.0" encoding="utf-8"?>
<formControlPr xmlns="http://schemas.microsoft.com/office/spreadsheetml/2009/9/main" objectType="CheckBox" fmlaLink="PedBerLab!$G$21" lockText="1"/>
</file>

<file path=xl/ctrlProps/ctrlProp484.xml><?xml version="1.0" encoding="utf-8"?>
<formControlPr xmlns="http://schemas.microsoft.com/office/spreadsheetml/2009/9/main" objectType="CheckBox" fmlaLink="PedBerLab!$I$21" lockText="1"/>
</file>

<file path=xl/ctrlProps/ctrlProp485.xml><?xml version="1.0" encoding="utf-8"?>
<formControlPr xmlns="http://schemas.microsoft.com/office/spreadsheetml/2009/9/main" objectType="CheckBox" fmlaLink="PedBerLab!$L$21" lockText="1"/>
</file>

<file path=xl/ctrlProps/ctrlProp486.xml><?xml version="1.0" encoding="utf-8"?>
<formControlPr xmlns="http://schemas.microsoft.com/office/spreadsheetml/2009/9/main" objectType="CheckBox" fmlaLink="PedBerLab!$E$21" lockText="1"/>
</file>

<file path=xl/ctrlProps/ctrlProp487.xml><?xml version="1.0" encoding="utf-8"?>
<formControlPr xmlns="http://schemas.microsoft.com/office/spreadsheetml/2009/9/main" objectType="CheckBox" fmlaLink="PedBerLab!$C$22" lockText="1"/>
</file>

<file path=xl/ctrlProps/ctrlProp488.xml><?xml version="1.0" encoding="utf-8"?>
<formControlPr xmlns="http://schemas.microsoft.com/office/spreadsheetml/2009/9/main" objectType="CheckBox" fmlaLink="PedBerLab!$G$22" lockText="1"/>
</file>

<file path=xl/ctrlProps/ctrlProp489.xml><?xml version="1.0" encoding="utf-8"?>
<formControlPr xmlns="http://schemas.microsoft.com/office/spreadsheetml/2009/9/main" objectType="CheckBox" fmlaLink="PedBerLab!$I$22" lockText="1"/>
</file>

<file path=xl/ctrlProps/ctrlProp490.xml><?xml version="1.0" encoding="utf-8"?>
<formControlPr xmlns="http://schemas.microsoft.com/office/spreadsheetml/2009/9/main" objectType="CheckBox" fmlaLink="PedBerLab!$L$22" lockText="1"/>
</file>

<file path=xl/ctrlProps/ctrlProp491.xml><?xml version="1.0" encoding="utf-8"?>
<formControlPr xmlns="http://schemas.microsoft.com/office/spreadsheetml/2009/9/main" objectType="CheckBox" fmlaLink="PedBerLab!$E$22" lockText="1"/>
</file>

<file path=xl/ctrlProps/ctrlProp492.xml><?xml version="1.0" encoding="utf-8"?>
<formControlPr xmlns="http://schemas.microsoft.com/office/spreadsheetml/2009/9/main" objectType="CheckBox" fmlaLink="PedBerLab!$C$23" lockText="1"/>
</file>

<file path=xl/ctrlProps/ctrlProp493.xml><?xml version="1.0" encoding="utf-8"?>
<formControlPr xmlns="http://schemas.microsoft.com/office/spreadsheetml/2009/9/main" objectType="CheckBox" fmlaLink="PedBerLab!$G$23" lockText="1"/>
</file>

<file path=xl/ctrlProps/ctrlProp494.xml><?xml version="1.0" encoding="utf-8"?>
<formControlPr xmlns="http://schemas.microsoft.com/office/spreadsheetml/2009/9/main" objectType="CheckBox" fmlaLink="PedBerLab!$I$23" lockText="1"/>
</file>

<file path=xl/ctrlProps/ctrlProp495.xml><?xml version="1.0" encoding="utf-8"?>
<formControlPr xmlns="http://schemas.microsoft.com/office/spreadsheetml/2009/9/main" objectType="CheckBox" fmlaLink="PedBerLab!$L$23" lockText="1"/>
</file>

<file path=xl/ctrlProps/ctrlProp496.xml><?xml version="1.0" encoding="utf-8"?>
<formControlPr xmlns="http://schemas.microsoft.com/office/spreadsheetml/2009/9/main" objectType="CheckBox" fmlaLink="PedBerLab!$E$23" lockText="1"/>
</file>

<file path=xl/ctrlProps/ctrlProp497.xml><?xml version="1.0" encoding="utf-8"?>
<formControlPr xmlns="http://schemas.microsoft.com/office/spreadsheetml/2009/9/main" objectType="CheckBox" fmlaLink="PedBerLab!$C$24" lockText="1"/>
</file>

<file path=xl/ctrlProps/ctrlProp498.xml><?xml version="1.0" encoding="utf-8"?>
<formControlPr xmlns="http://schemas.microsoft.com/office/spreadsheetml/2009/9/main" objectType="CheckBox" fmlaLink="PedBerLab!$G$24" lockText="1"/>
</file>

<file path=xl/ctrlProps/ctrlProp499.xml><?xml version="1.0" encoding="utf-8"?>
<formControlPr xmlns="http://schemas.microsoft.com/office/spreadsheetml/2009/9/main" objectType="CheckBox" fmlaLink="PedBerLab!$I$24" lockText="1"/>
</file>

<file path=xl/ctrlProps/ctrlProp500.xml><?xml version="1.0" encoding="utf-8"?>
<formControlPr xmlns="http://schemas.microsoft.com/office/spreadsheetml/2009/9/main" objectType="CheckBox" fmlaLink="PedBerLab!$L$24" lockText="1"/>
</file>

<file path=xl/ctrlProps/ctrlProp501.xml><?xml version="1.0" encoding="utf-8"?>
<formControlPr xmlns="http://schemas.microsoft.com/office/spreadsheetml/2009/9/main" objectType="CheckBox" fmlaLink="PedBerLab!$E$24" lockText="1"/>
</file>

<file path=xl/ctrlProps/ctrlProp502.xml><?xml version="1.0" encoding="utf-8"?>
<formControlPr xmlns="http://schemas.microsoft.com/office/spreadsheetml/2009/9/main" objectType="CheckBox" fmlaLink="PedBerLab!$C$25" lockText="1"/>
</file>

<file path=xl/ctrlProps/ctrlProp503.xml><?xml version="1.0" encoding="utf-8"?>
<formControlPr xmlns="http://schemas.microsoft.com/office/spreadsheetml/2009/9/main" objectType="CheckBox" fmlaLink="PedBerLab!$G$25" lockText="1"/>
</file>

<file path=xl/ctrlProps/ctrlProp504.xml><?xml version="1.0" encoding="utf-8"?>
<formControlPr xmlns="http://schemas.microsoft.com/office/spreadsheetml/2009/9/main" objectType="CheckBox" fmlaLink="PedBerLab!$I$25" lockText="1"/>
</file>

<file path=xl/ctrlProps/ctrlProp505.xml><?xml version="1.0" encoding="utf-8"?>
<formControlPr xmlns="http://schemas.microsoft.com/office/spreadsheetml/2009/9/main" objectType="CheckBox" fmlaLink="PedBerLab!$L$25" lockText="1"/>
</file>

<file path=xl/ctrlProps/ctrlProp506.xml><?xml version="1.0" encoding="utf-8"?>
<formControlPr xmlns="http://schemas.microsoft.com/office/spreadsheetml/2009/9/main" objectType="CheckBox" fmlaLink="PedBerLab!$E$25" lockText="1"/>
</file>

<file path=xl/ctrlProps/ctrlProp507.xml><?xml version="1.0" encoding="utf-8"?>
<formControlPr xmlns="http://schemas.microsoft.com/office/spreadsheetml/2009/9/main" objectType="CheckBox" fmlaLink="PedBerLab!$C$29" lockText="1"/>
</file>

<file path=xl/ctrlProps/ctrlProp508.xml><?xml version="1.0" encoding="utf-8"?>
<formControlPr xmlns="http://schemas.microsoft.com/office/spreadsheetml/2009/9/main" objectType="CheckBox" fmlaLink="PedBerLab!$G$29" lockText="1"/>
</file>

<file path=xl/ctrlProps/ctrlProp509.xml><?xml version="1.0" encoding="utf-8"?>
<formControlPr xmlns="http://schemas.microsoft.com/office/spreadsheetml/2009/9/main" objectType="CheckBox" fmlaLink="PedBerLab!$I$29" lockText="1"/>
</file>

<file path=xl/ctrlProps/ctrlProp510.xml><?xml version="1.0" encoding="utf-8"?>
<formControlPr xmlns="http://schemas.microsoft.com/office/spreadsheetml/2009/9/main" objectType="CheckBox" fmlaLink="PedBerLab!$L$29" lockText="1"/>
</file>

<file path=xl/ctrlProps/ctrlProp511.xml><?xml version="1.0" encoding="utf-8"?>
<formControlPr xmlns="http://schemas.microsoft.com/office/spreadsheetml/2009/9/main" objectType="CheckBox" fmlaLink="PedBerLab!$E$29" lockText="1"/>
</file>

<file path=xl/ctrlProps/ctrlProp512.xml><?xml version="1.0" encoding="utf-8"?>
<formControlPr xmlns="http://schemas.microsoft.com/office/spreadsheetml/2009/9/main" objectType="CheckBox" fmlaLink="PedBerLab!$C$17" lockText="1"/>
</file>

<file path=xl/ctrlProps/ctrlProp513.xml><?xml version="1.0" encoding="utf-8"?>
<formControlPr xmlns="http://schemas.microsoft.com/office/spreadsheetml/2009/9/main" objectType="CheckBox" fmlaLink="PedBerLab!$G$17" lockText="1"/>
</file>

<file path=xl/ctrlProps/ctrlProp514.xml><?xml version="1.0" encoding="utf-8"?>
<formControlPr xmlns="http://schemas.microsoft.com/office/spreadsheetml/2009/9/main" objectType="CheckBox" fmlaLink="PedBerLab!$I$17" lockText="1"/>
</file>

<file path=xl/ctrlProps/ctrlProp515.xml><?xml version="1.0" encoding="utf-8"?>
<formControlPr xmlns="http://schemas.microsoft.com/office/spreadsheetml/2009/9/main" objectType="CheckBox" fmlaLink="PedBerLab!$L$17" lockText="1"/>
</file>

<file path=xl/ctrlProps/ctrlProp516.xml><?xml version="1.0" encoding="utf-8"?>
<formControlPr xmlns="http://schemas.microsoft.com/office/spreadsheetml/2009/9/main" objectType="CheckBox" fmlaLink="PedBerLab!$E$17" lockText="1"/>
</file>

<file path=xl/ctrlProps/ctrlProp517.xml><?xml version="1.0" encoding="utf-8"?>
<formControlPr xmlns="http://schemas.microsoft.com/office/spreadsheetml/2009/9/main" objectType="CheckBox" fmlaLink="PedBerLab!$C$31" lockText="1"/>
</file>

<file path=xl/ctrlProps/ctrlProp518.xml><?xml version="1.0" encoding="utf-8"?>
<formControlPr xmlns="http://schemas.microsoft.com/office/spreadsheetml/2009/9/main" objectType="CheckBox" fmlaLink="PedBerLab!$G$31" lockText="1"/>
</file>

<file path=xl/ctrlProps/ctrlProp519.xml><?xml version="1.0" encoding="utf-8"?>
<formControlPr xmlns="http://schemas.microsoft.com/office/spreadsheetml/2009/9/main" objectType="CheckBox" fmlaLink="PedBerLab!$I$31" lockText="1"/>
</file>

<file path=xl/ctrlProps/ctrlProp520.xml><?xml version="1.0" encoding="utf-8"?>
<formControlPr xmlns="http://schemas.microsoft.com/office/spreadsheetml/2009/9/main" objectType="CheckBox" fmlaLink="PedBerLab!$L$31" lockText="1"/>
</file>

<file path=xl/ctrlProps/ctrlProp521.xml><?xml version="1.0" encoding="utf-8"?>
<formControlPr xmlns="http://schemas.microsoft.com/office/spreadsheetml/2009/9/main" objectType="CheckBox" fmlaLink="PedBerLab!$E$31" lockText="1"/>
</file>

<file path=xl/ctrlProps/ctrlProp522.xml><?xml version="1.0" encoding="utf-8"?>
<formControlPr xmlns="http://schemas.microsoft.com/office/spreadsheetml/2009/9/main" objectType="CheckBox" fmlaLink="PedBerLab!C35" lockText="1"/>
</file>

<file path=xl/ctrlProps/ctrlProp523.xml><?xml version="1.0" encoding="utf-8"?>
<formControlPr xmlns="http://schemas.microsoft.com/office/spreadsheetml/2009/9/main" objectType="CheckBox" fmlaLink="PedBerLab!$C$33" lockText="1"/>
</file>

<file path=xl/ctrlProps/ctrlProp524.xml><?xml version="1.0" encoding="utf-8"?>
<formControlPr xmlns="http://schemas.microsoft.com/office/spreadsheetml/2009/9/main" objectType="CheckBox" fmlaLink="PedBerLab!$G$33" lockText="1"/>
</file>

<file path=xl/ctrlProps/ctrlProp525.xml><?xml version="1.0" encoding="utf-8"?>
<formControlPr xmlns="http://schemas.microsoft.com/office/spreadsheetml/2009/9/main" objectType="CheckBox" fmlaLink="PedBerLab!$I$33" lockText="1"/>
</file>

<file path=xl/ctrlProps/ctrlProp526.xml><?xml version="1.0" encoding="utf-8"?>
<formControlPr xmlns="http://schemas.microsoft.com/office/spreadsheetml/2009/9/main" objectType="CheckBox" fmlaLink="PedBerLab!$L$33" lockText="1"/>
</file>

<file path=xl/ctrlProps/ctrlProp527.xml><?xml version="1.0" encoding="utf-8"?>
<formControlPr xmlns="http://schemas.microsoft.com/office/spreadsheetml/2009/9/main" objectType="CheckBox" fmlaLink="PedBerLab!$E$33" lockText="1"/>
</file>

<file path=xl/ctrlProps/ctrlProp528.xml><?xml version="1.0" encoding="utf-8"?>
<formControlPr xmlns="http://schemas.microsoft.com/office/spreadsheetml/2009/9/main" objectType="CheckBox" fmlaLink="PedBerLab!$C$34" lockText="1"/>
</file>

<file path=xl/ctrlProps/ctrlProp529.xml><?xml version="1.0" encoding="utf-8"?>
<formControlPr xmlns="http://schemas.microsoft.com/office/spreadsheetml/2009/9/main" objectType="CheckBox" fmlaLink="PedBerLab!$G$34" lockText="1"/>
</file>

<file path=xl/ctrlProps/ctrlProp530.xml><?xml version="1.0" encoding="utf-8"?>
<formControlPr xmlns="http://schemas.microsoft.com/office/spreadsheetml/2009/9/main" objectType="CheckBox" fmlaLink="PedBerLab!$I$34" lockText="1"/>
</file>

<file path=xl/ctrlProps/ctrlProp531.xml><?xml version="1.0" encoding="utf-8"?>
<formControlPr xmlns="http://schemas.microsoft.com/office/spreadsheetml/2009/9/main" objectType="CheckBox" fmlaLink="PedBerLab!L34" lockText="1"/>
</file>

<file path=xl/ctrlProps/ctrlProp532.xml><?xml version="1.0" encoding="utf-8"?>
<formControlPr xmlns="http://schemas.microsoft.com/office/spreadsheetml/2009/9/main" objectType="CheckBox" fmlaLink="PedBerLab!$E$34" lockText="1"/>
</file>

<file path=xl/ctrlProps/ctrlProp533.xml><?xml version="1.0" encoding="utf-8"?>
<formControlPr xmlns="http://schemas.microsoft.com/office/spreadsheetml/2009/9/main" objectType="Spin" dx="15" fmlaLink="PatDetails!$H$2" max="200" min="25" page="10" val="80"/>
</file>

<file path=xl/ctrlProps/ctrlProp534.xml><?xml version="1.0" encoding="utf-8"?>
<formControlPr xmlns="http://schemas.microsoft.com/office/spreadsheetml/2009/9/main" objectType="Spin" dx="15" fmlaLink="PatDetails!$H$2" max="200" min="25" page="10" val="80"/>
</file>

<file path=xl/ctrlProps/ctrlProp535.xml><?xml version="1.0" encoding="utf-8"?>
<formControlPr xmlns="http://schemas.microsoft.com/office/spreadsheetml/2009/9/main" objectType="CheckBox" fmlaLink="PedBerExtraAfspr!$F$7" lockText="1"/>
</file>

<file path=xl/ctrlProps/ctrlProp536.xml><?xml version="1.0" encoding="utf-8"?>
<formControlPr xmlns="http://schemas.microsoft.com/office/spreadsheetml/2009/9/main" objectType="CheckBox" fmlaLink="PedBerExtraAfspr!$F$8" lockText="1"/>
</file>

<file path=xl/ctrlProps/ctrlProp537.xml><?xml version="1.0" encoding="utf-8"?>
<formControlPr xmlns="http://schemas.microsoft.com/office/spreadsheetml/2009/9/main" objectType="Spin" dx="15" fmlaLink="PedBerExtraAfspr!$B$12" max="24" page="10" val="0"/>
</file>

<file path=xl/ctrlProps/ctrlProp538.xml><?xml version="1.0" encoding="utf-8"?>
<formControlPr xmlns="http://schemas.microsoft.com/office/spreadsheetml/2009/9/main" objectType="CheckBox" fmlaLink="PedBerExtraAfspr!$B$22" lockText="1"/>
</file>

<file path=xl/ctrlProps/ctrlProp539.xml><?xml version="1.0" encoding="utf-8"?>
<formControlPr xmlns="http://schemas.microsoft.com/office/spreadsheetml/2009/9/main" objectType="CheckBox" fmlaLink="PedBerExtraAfspr!$B$23" lockText="1"/>
</file>

<file path=xl/ctrlProps/ctrlProp540.xml><?xml version="1.0" encoding="utf-8"?>
<formControlPr xmlns="http://schemas.microsoft.com/office/spreadsheetml/2009/9/main" objectType="CheckBox" fmlaLink="PedBerExtraAfspr!$B$27" lockText="1"/>
</file>

<file path=xl/ctrlProps/ctrlProp541.xml><?xml version="1.0" encoding="utf-8"?>
<formControlPr xmlns="http://schemas.microsoft.com/office/spreadsheetml/2009/9/main" objectType="Drop" dropStyle="combo" dx="16" fmlaLink="PedBerExtraAfspr!$D$27" fmlaRange="tbl_Ped_DrainLokatie" noThreeD="1" sel="0" val="0"/>
</file>

<file path=xl/ctrlProps/ctrlProp542.xml><?xml version="1.0" encoding="utf-8"?>
<formControlPr xmlns="http://schemas.microsoft.com/office/spreadsheetml/2009/9/main" objectType="Drop" dropStyle="combo" dx="16" fmlaLink="PedBerExtraAfspr!$D$28" fmlaRange="tbl_Ped_DrainModus" noThreeD="1" sel="0" val="0"/>
</file>

<file path=xl/ctrlProps/ctrlProp543.xml><?xml version="1.0" encoding="utf-8"?>
<formControlPr xmlns="http://schemas.microsoft.com/office/spreadsheetml/2009/9/main" objectType="CheckBox" fmlaLink="PedBerExtraAfspr!$B$30" lockText="1"/>
</file>

<file path=xl/ctrlProps/ctrlProp544.xml><?xml version="1.0" encoding="utf-8"?>
<formControlPr xmlns="http://schemas.microsoft.com/office/spreadsheetml/2009/9/main" objectType="Drop" dropStyle="combo" dx="16" fmlaLink="PedBerExtraAfspr!$D$30" fmlaRange="tbl_Ped_DrainLokatie" noThreeD="1" sel="0" val="0"/>
</file>

<file path=xl/ctrlProps/ctrlProp545.xml><?xml version="1.0" encoding="utf-8"?>
<formControlPr xmlns="http://schemas.microsoft.com/office/spreadsheetml/2009/9/main" objectType="Drop" dropStyle="combo" dx="16" fmlaLink="PedBerExtraAfspr!$D$31" fmlaRange="tbl_Ped_DrainModus" noThreeD="1" sel="0" val="0"/>
</file>

<file path=xl/ctrlProps/ctrlProp546.xml><?xml version="1.0" encoding="utf-8"?>
<formControlPr xmlns="http://schemas.microsoft.com/office/spreadsheetml/2009/9/main" objectType="CheckBox" fmlaLink="PedBerExtraAfspr!$B$7" lockText="1"/>
</file>

<file path=xl/ctrlProps/ctrlProp547.xml><?xml version="1.0" encoding="utf-8"?>
<formControlPr xmlns="http://schemas.microsoft.com/office/spreadsheetml/2009/9/main" objectType="CheckBox" fmlaLink="PedBerExtraAfspr!$B$8" lockText="1"/>
</file>

<file path=xl/ctrlProps/ctrlProp548.xml><?xml version="1.0" encoding="utf-8"?>
<formControlPr xmlns="http://schemas.microsoft.com/office/spreadsheetml/2009/9/main" objectType="CheckBox" fmlaLink="PedBerExtraAfspr!$B$21" lockText="1"/>
</file>

<file path=xl/ctrlProps/ctrlProp549.xml><?xml version="1.0" encoding="utf-8"?>
<formControlPr xmlns="http://schemas.microsoft.com/office/spreadsheetml/2009/9/main" objectType="CheckBox" fmlaLink="PedBerExtraAfspr!$B$11" lockText="1"/>
</file>

<file path=xl/ctrlProps/ctrlProp550.xml><?xml version="1.0" encoding="utf-8"?>
<formControlPr xmlns="http://schemas.microsoft.com/office/spreadsheetml/2009/9/main" objectType="CheckBox" fmlaLink="PedBerExtraAfspr!$B$15" lockText="1"/>
</file>

<file path=xl/ctrlProps/ctrlProp551.xml><?xml version="1.0" encoding="utf-8"?>
<formControlPr xmlns="http://schemas.microsoft.com/office/spreadsheetml/2009/9/main" objectType="CheckBox" fmlaLink="PedBerExtraAfspr!$B$16" lockText="1"/>
</file>

<file path=xl/ctrlProps/ctrlProp552.xml><?xml version="1.0" encoding="utf-8"?>
<formControlPr xmlns="http://schemas.microsoft.com/office/spreadsheetml/2009/9/main" objectType="CheckBox" fmlaLink="PedBerExtraAfspr!$B$17" lockText="1"/>
</file>

<file path=xl/ctrlProps/ctrlProp553.xml><?xml version="1.0" encoding="utf-8"?>
<formControlPr xmlns="http://schemas.microsoft.com/office/spreadsheetml/2009/9/main" objectType="CheckBox" fmlaLink="PedBerExtraAfspr!$D$11" lockText="1"/>
</file>

<file path=xl/ctrlProps/ctrlProp554.xml><?xml version="1.0" encoding="utf-8"?>
<formControlPr xmlns="http://schemas.microsoft.com/office/spreadsheetml/2009/9/main" objectType="CheckBox" fmlaLink="PedBerExtraAfspr!$D$12" lockText="1"/>
</file>

<file path=xl/ctrlProps/ctrlProp555.xml><?xml version="1.0" encoding="utf-8"?>
<formControlPr xmlns="http://schemas.microsoft.com/office/spreadsheetml/2009/9/main" objectType="CheckBox" fmlaLink="PedBerExtraAfspr!$D$13" lockText="1"/>
</file>

<file path=xl/ctrlProps/ctrlProp556.xml><?xml version="1.0" encoding="utf-8"?>
<formControlPr xmlns="http://schemas.microsoft.com/office/spreadsheetml/2009/9/main" objectType="CheckBox" fmlaLink="PedBerExtraAfspr!$D$14" lockText="1"/>
</file>

<file path=xl/ctrlProps/ctrlProp557.xml><?xml version="1.0" encoding="utf-8"?>
<formControlPr xmlns="http://schemas.microsoft.com/office/spreadsheetml/2009/9/main" objectType="CheckBox" fmlaLink="PedBerExtraAfspr!$B$20" lockText="1"/>
</file>

<file path=xl/ctrlProps/ctrlProp558.xml><?xml version="1.0" encoding="utf-8"?>
<formControlPr xmlns="http://schemas.microsoft.com/office/spreadsheetml/2009/9/main" objectType="CheckBox" fmlaLink="PedBerExtraAfspr!$B$9" lockText="1"/>
</file>

<file path=xl/ctrlProps/ctrlProp559.xml><?xml version="1.0" encoding="utf-8"?>
<formControlPr xmlns="http://schemas.microsoft.com/office/spreadsheetml/2009/9/main" objectType="Spin" dx="15" fmlaLink="PedBerExtraAfspr!$C$7" max="10" page="10" val="0"/>
</file>

<file path=xl/ctrlProps/ctrlProp560.xml><?xml version="1.0" encoding="utf-8"?>
<formControlPr xmlns="http://schemas.microsoft.com/office/spreadsheetml/2009/9/main" objectType="Spin" dx="15" fmlaLink="PedBerExtraAfspr!$C$8" max="10" page="10" val="0"/>
</file>

<file path=xl/ctrlProps/ctrlProp561.xml><?xml version="1.0" encoding="utf-8"?>
<formControlPr xmlns="http://schemas.microsoft.com/office/spreadsheetml/2009/9/main" objectType="Spin" dx="15" fmlaLink="PedBerExtraAfspr!$C$9" max="10" page="10" val="0"/>
</file>

<file path=xl/ctrlProps/ctrlProp562.xml><?xml version="1.0" encoding="utf-8"?>
<formControlPr xmlns="http://schemas.microsoft.com/office/spreadsheetml/2009/9/main" objectType="Drop" dropStyle="combo" dx="16" fmlaLink="PedBerExtraAfspr!$D$7" fmlaRange="tbl_Ped_Periode" noThreeD="1" sel="0" val="0"/>
</file>

<file path=xl/ctrlProps/ctrlProp563.xml><?xml version="1.0" encoding="utf-8"?>
<formControlPr xmlns="http://schemas.microsoft.com/office/spreadsheetml/2009/9/main" objectType="Drop" dropStyle="combo" dx="16" fmlaLink="PedBerExtraAfspr!$D$8" fmlaRange="tbl_Ped_Periode" noThreeD="1" sel="0" val="0"/>
</file>

<file path=xl/ctrlProps/ctrlProp564.xml><?xml version="1.0" encoding="utf-8"?>
<formControlPr xmlns="http://schemas.microsoft.com/office/spreadsheetml/2009/9/main" objectType="Drop" dropStyle="combo" dx="16" fmlaLink="PedBerExtraAfspr!$D$9" fmlaRange="tbl_Ped_Periode" noThreeD="1" sel="0" val="0"/>
</file>

<file path=xl/ctrlProps/ctrlProp565.xml><?xml version="1.0" encoding="utf-8"?>
<formControlPr xmlns="http://schemas.microsoft.com/office/spreadsheetml/2009/9/main" objectType="Spin" dx="15" fmlaLink="PedBerExtraAfspr!$C$8" max="10" page="10" val="0"/>
</file>

<file path=xl/ctrlProps/ctrlProp566.xml><?xml version="1.0" encoding="utf-8"?>
<formControlPr xmlns="http://schemas.microsoft.com/office/spreadsheetml/2009/9/main" objectType="Spin" dx="15" fmlaLink="PedBerExtraAfspr!$C$9" max="10" page="10" val="0"/>
</file>

<file path=xl/ctrlProps/ctrlProp567.xml><?xml version="1.0" encoding="utf-8"?>
<formControlPr xmlns="http://schemas.microsoft.com/office/spreadsheetml/2009/9/main" objectType="Drop" dropStyle="combo" dx="16" fmlaLink="PedBerExtraAfspr!$D$29" fmlaRange="tbl_Ped_DrainZuig" noThreeD="1" sel="0" val="0"/>
</file>

<file path=xl/ctrlProps/ctrlProp568.xml><?xml version="1.0" encoding="utf-8"?>
<formControlPr xmlns="http://schemas.microsoft.com/office/spreadsheetml/2009/9/main" objectType="Drop" dropStyle="combo" dx="16" fmlaLink="PedBerExtraAfspr!$D$32" fmlaRange="tbl_Ped_DrainZuig" noThreeD="1" sel="0" val="0"/>
</file>

<file path=xl/ctrlProps/ctrlProp569.xml><?xml version="1.0" encoding="utf-8"?>
<formControlPr xmlns="http://schemas.microsoft.com/office/spreadsheetml/2009/9/main" objectType="CheckBox" fmlaLink="PedBerExtraAfspr!$B$33" lockText="1"/>
</file>

<file path=xl/ctrlProps/ctrlProp570.xml><?xml version="1.0" encoding="utf-8"?>
<formControlPr xmlns="http://schemas.microsoft.com/office/spreadsheetml/2009/9/main" objectType="Drop" dropStyle="combo" dx="16" fmlaLink="PedBerExtraAfspr!$D$33" fmlaRange="tbl_Ped_DrainLokatie" noThreeD="1" sel="0" val="0"/>
</file>

<file path=xl/ctrlProps/ctrlProp571.xml><?xml version="1.0" encoding="utf-8"?>
<formControlPr xmlns="http://schemas.microsoft.com/office/spreadsheetml/2009/9/main" objectType="Drop" dropStyle="combo" dx="16" fmlaLink="PedBerExtraAfspr!$D$34" fmlaRange="tbl_Ped_DrainModus" noThreeD="1" sel="0" val="0"/>
</file>

<file path=xl/ctrlProps/ctrlProp572.xml><?xml version="1.0" encoding="utf-8"?>
<formControlPr xmlns="http://schemas.microsoft.com/office/spreadsheetml/2009/9/main" objectType="Drop" dropStyle="combo" dx="16" fmlaLink="PedBerExtraAfspr!$D$35" fmlaRange="tbl_Ped_DrainZuig" noThreeD="1" sel="0" val="0"/>
</file>

<file path=xl/ctrlProps/ctrlProp573.xml><?xml version="1.0" encoding="utf-8"?>
<formControlPr xmlns="http://schemas.microsoft.com/office/spreadsheetml/2009/9/main" objectType="CheckBox" fmlaLink="PedBerExtraAfspr!$B$36" lockText="1"/>
</file>

<file path=xl/ctrlProps/ctrlProp574.xml><?xml version="1.0" encoding="utf-8"?>
<formControlPr xmlns="http://schemas.microsoft.com/office/spreadsheetml/2009/9/main" objectType="CheckBox" fmlaLink="PedBerExtraAfspr!$B$38" lockText="1"/>
</file>

<file path=xl/ctrlProps/ctrlProp575.xml><?xml version="1.0" encoding="utf-8"?>
<formControlPr xmlns="http://schemas.microsoft.com/office/spreadsheetml/2009/9/main" objectType="CheckBox" fmlaLink="PedBerExtraAfspr!$B$37" lockText="1"/>
</file>

<file path=xl/ctrlProps/ctrlProp576.xml><?xml version="1.0" encoding="utf-8"?>
<formControlPr xmlns="http://schemas.microsoft.com/office/spreadsheetml/2009/9/main" objectType="CheckBox" fmlaLink="PedBerExtraAfspr!$D$36" lockText="1"/>
</file>

<file path=xl/ctrlProps/ctrlProp577.xml><?xml version="1.0" encoding="utf-8"?>
<formControlPr xmlns="http://schemas.microsoft.com/office/spreadsheetml/2009/9/main" objectType="CheckBox" fmlaLink="PedBerExtraAfspr!$D$37" lockText="1"/>
</file>

<file path=xl/ctrlProps/ctrlProp578.xml><?xml version="1.0" encoding="utf-8"?>
<formControlPr xmlns="http://schemas.microsoft.com/office/spreadsheetml/2009/9/main" objectType="CheckBox" fmlaLink="PedBerExtraAfspr!$D$38" lockText="1"/>
</file>

<file path=xl/ctrlProps/ctrlProp579.xml><?xml version="1.0" encoding="utf-8"?>
<formControlPr xmlns="http://schemas.microsoft.com/office/spreadsheetml/2009/9/main" objectType="Drop" dropStyle="combo" dx="16" fmlaLink="PedBerExtraAfspr!$D$39" fmlaRange="tbl_Ped_LiquorDrain" noThreeD="1" sel="0" val="0"/>
</file>

<file path=xl/ctrlProps/ctrlProp580.xml><?xml version="1.0" encoding="utf-8"?>
<formControlPr xmlns="http://schemas.microsoft.com/office/spreadsheetml/2009/9/main" objectType="Spin" dx="15" fmlaLink="PedBerExtraAfspr!$D$40" max="100" page="10" val="0"/>
</file>

<file path=xl/ctrlProps/ctrlProp581.xml><?xml version="1.0" encoding="utf-8"?>
<formControlPr xmlns="http://schemas.microsoft.com/office/spreadsheetml/2009/9/main" objectType="CheckBox" fmlaLink="PedBerExtraAfspr!$B$39" lockText="1"/>
</file>

<file path=xl/ctrlProps/ctrlProp582.xml><?xml version="1.0" encoding="utf-8"?>
<formControlPr xmlns="http://schemas.microsoft.com/office/spreadsheetml/2009/9/main" objectType="CheckBox" fmlaLink="PedBerExtraAfspr!$F$9" lockText="1"/>
</file>

<file path=xl/ctrlProps/ctrlProp583.xml><?xml version="1.0" encoding="utf-8"?>
<formControlPr xmlns="http://schemas.microsoft.com/office/spreadsheetml/2009/9/main" objectType="CheckBox" fmlaLink="PedBerExtraAfspr!$F$10" lockText="1"/>
</file>

<file path=xl/ctrlProps/ctrlProp584.xml><?xml version="1.0" encoding="utf-8"?>
<formControlPr xmlns="http://schemas.microsoft.com/office/spreadsheetml/2009/9/main" objectType="CheckBox" fmlaLink="PedBerExtraAfspr!$F$12" lockText="1"/>
</file>

<file path=xl/ctrlProps/ctrlProp585.xml><?xml version="1.0" encoding="utf-8"?>
<formControlPr xmlns="http://schemas.microsoft.com/office/spreadsheetml/2009/9/main" objectType="CheckBox" fmlaLink="PedBerExtraAfspr!$F$13" lockText="1"/>
</file>

<file path=xl/ctrlProps/ctrlProp586.xml><?xml version="1.0" encoding="utf-8"?>
<formControlPr xmlns="http://schemas.microsoft.com/office/spreadsheetml/2009/9/main" objectType="CheckBox" fmlaLink="PedBerExtraAfspr!$F$14" lockText="1"/>
</file>

<file path=xl/ctrlProps/ctrlProp587.xml><?xml version="1.0" encoding="utf-8"?>
<formControlPr xmlns="http://schemas.microsoft.com/office/spreadsheetml/2009/9/main" objectType="CheckBox" fmlaLink="PedBerExtraAfspr!$F$15" lockText="1"/>
</file>

<file path=xl/ctrlProps/ctrlProp588.xml><?xml version="1.0" encoding="utf-8"?>
<formControlPr xmlns="http://schemas.microsoft.com/office/spreadsheetml/2009/9/main" objectType="CheckBox" fmlaLink="PedBerExtraAfspr!$B$24" lockText="1"/>
</file>

<file path=xl/ctrlProps/ctrlProp589.xml><?xml version="1.0" encoding="utf-8"?>
<formControlPr xmlns="http://schemas.microsoft.com/office/spreadsheetml/2009/9/main" objectType="CheckBox" fmlaLink="PedBerExtraAfspr!$B$25" lockText="1"/>
</file>

<file path=xl/ctrlProps/ctrlProp590.xml><?xml version="1.0" encoding="utf-8"?>
<formControlPr xmlns="http://schemas.microsoft.com/office/spreadsheetml/2009/9/main" objectType="Spin" dx="15" fmlaLink="PedBerExtraAfspr!$C$8" max="10" page="10" val="0"/>
</file>

<file path=xl/ctrlProps/ctrlProp591.xml><?xml version="1.0" encoding="utf-8"?>
<formControlPr xmlns="http://schemas.microsoft.com/office/spreadsheetml/2009/9/main" objectType="Spin" dx="15" fmlaLink="PedBerExtraAfspr!$C$9" max="10" page="10" val="0"/>
</file>

<file path=xl/ctrlProps/ctrlProp592.xml><?xml version="1.0" encoding="utf-8"?>
<formControlPr xmlns="http://schemas.microsoft.com/office/spreadsheetml/2009/9/main" objectType="CheckBox" fmlaLink="PedBerExtraAfspr!$F$16" lockText="1"/>
</file>

<file path=xl/ctrlProps/ctrlProp593.xml><?xml version="1.0" encoding="utf-8"?>
<formControlPr xmlns="http://schemas.microsoft.com/office/spreadsheetml/2009/9/main" objectType="Spin" dx="15" fmlaLink="PedBerExtraAfspr!$G$16" max="24" page="10" val="0"/>
</file>

<file path=xl/ctrlProps/ctrlProp594.xml><?xml version="1.0" encoding="utf-8"?>
<formControlPr xmlns="http://schemas.microsoft.com/office/spreadsheetml/2009/9/main" objectType="Spin" dx="15" fmlaLink="PedBerExtraAfspr!$G$18" max="24" page="10" val="0"/>
</file>

<file path=xl/ctrlProps/ctrlProp595.xml><?xml version="1.0" encoding="utf-8"?>
<formControlPr xmlns="http://schemas.microsoft.com/office/spreadsheetml/2009/9/main" objectType="CheckBox" fmlaLink="PedBerExtraAfspr!$F$18" lockText="1"/>
</file>

<file path=xl/ctrlProps/ctrlProp596.xml><?xml version="1.0" encoding="utf-8"?>
<formControlPr xmlns="http://schemas.microsoft.com/office/spreadsheetml/2009/9/main" objectType="CheckBox" fmlaLink="PedBerExtraAfspr!$B$42" lockText="1"/>
</file>

<file path=xl/ctrlProps/ctrlProp597.xml><?xml version="1.0" encoding="utf-8"?>
<formControlPr xmlns="http://schemas.microsoft.com/office/spreadsheetml/2009/9/main" objectType="CheckBox" fmlaLink="PedBerExtraAfspr!$B$43" lockText="1"/>
</file>

<file path=xl/ctrlProps/ctrlProp598.xml><?xml version="1.0" encoding="utf-8"?>
<formControlPr xmlns="http://schemas.microsoft.com/office/spreadsheetml/2009/9/main" objectType="CheckBox" fmlaLink="PedBerExtraAfspr!$B$44" lockText="1"/>
</file>

<file path=xl/ctrlProps/ctrlProp599.xml><?xml version="1.0" encoding="utf-8"?>
<formControlPr xmlns="http://schemas.microsoft.com/office/spreadsheetml/2009/9/main" objectType="Spin" dx="15" fmlaLink="PedBerExtraAfspr!$C$42" max="24" page="10" val="0"/>
</file>

<file path=xl/ctrlProps/ctrlProp600.xml><?xml version="1.0" encoding="utf-8"?>
<formControlPr xmlns="http://schemas.microsoft.com/office/spreadsheetml/2009/9/main" objectType="Spin" dx="15" fmlaLink="PedBerExtraAfspr!$C$43" max="24" page="10" val="0"/>
</file>

<file path=xl/ctrlProps/ctrlProp601.xml><?xml version="1.0" encoding="utf-8"?>
<formControlPr xmlns="http://schemas.microsoft.com/office/spreadsheetml/2009/9/main" objectType="Drop" dropStyle="combo" dx="16" fmlaLink="NeoBerIV!$B$20" fmlaRange="tbl_Neo_MedIV" sel="1" val="0"/>
</file>

<file path=xl/ctrlProps/ctrlProp602.xml><?xml version="1.0" encoding="utf-8"?>
<formControlPr xmlns="http://schemas.microsoft.com/office/spreadsheetml/2009/9/main" objectType="Drop" dropStyle="combo" dx="16" fmlaLink="NeoBerIV!$B$21" fmlaRange="tbl_Neo_MedIV" sel="1" val="0"/>
</file>

<file path=xl/ctrlProps/ctrlProp603.xml><?xml version="1.0" encoding="utf-8"?>
<formControlPr xmlns="http://schemas.microsoft.com/office/spreadsheetml/2009/9/main" objectType="Drop" dropStyle="combo" dx="16" fmlaLink="NeoBerIV!$B$22" fmlaRange="tbl_Neo_MedIV" sel="1" val="0"/>
</file>

<file path=xl/ctrlProps/ctrlProp604.xml><?xml version="1.0" encoding="utf-8"?>
<formControlPr xmlns="http://schemas.microsoft.com/office/spreadsheetml/2009/9/main" objectType="Drop" dropStyle="combo" dx="16" fmlaLink="NeoBerIV!$B$23" fmlaRange="tbl_Neo_MedIV" sel="1" val="0"/>
</file>

<file path=xl/ctrlProps/ctrlProp605.xml><?xml version="1.0" encoding="utf-8"?>
<formControlPr xmlns="http://schemas.microsoft.com/office/spreadsheetml/2009/9/main" objectType="Drop" dropStyle="combo" dx="16" fmlaLink="NeoBerIV!$B$24" fmlaRange="tbl_Neo_MedIV" sel="1" val="0"/>
</file>

<file path=xl/ctrlProps/ctrlProp606.xml><?xml version="1.0" encoding="utf-8"?>
<formControlPr xmlns="http://schemas.microsoft.com/office/spreadsheetml/2009/9/main" objectType="Drop" dropStyle="combo" dx="16" fmlaLink="NeoBerIV!$B$25" fmlaRange="tbl_Neo_MedIV" sel="1" val="0"/>
</file>

<file path=xl/ctrlProps/ctrlProp607.xml><?xml version="1.0" encoding="utf-8"?>
<formControlPr xmlns="http://schemas.microsoft.com/office/spreadsheetml/2009/9/main" objectType="Drop" dropStyle="combo" dx="16" fmlaLink="NeoBerIV!$B$26" fmlaRange="tbl_Neo_MedIV" sel="1" val="0"/>
</file>

<file path=xl/ctrlProps/ctrlProp608.xml><?xml version="1.0" encoding="utf-8"?>
<formControlPr xmlns="http://schemas.microsoft.com/office/spreadsheetml/2009/9/main" objectType="Spin" dx="15" fmlaLink="NeoBerIV!$B$18" inc="5" max="10" page="10" val="0"/>
</file>

<file path=xl/ctrlProps/ctrlProp609.xml><?xml version="1.0" encoding="utf-8"?>
<formControlPr xmlns="http://schemas.microsoft.com/office/spreadsheetml/2009/9/main" objectType="Spin" dx="15" fmlaLink="NeoBerIV!$F$20" max="30000" page="10" val="0"/>
</file>

<file path=xl/ctrlProps/ctrlProp610.xml><?xml version="1.0" encoding="utf-8"?>
<formControlPr xmlns="http://schemas.microsoft.com/office/spreadsheetml/2009/9/main" objectType="Spin" dx="15" fmlaLink="NeoBerIV!$F$21" max="30000" page="10" val="0"/>
</file>

<file path=xl/ctrlProps/ctrlProp611.xml><?xml version="1.0" encoding="utf-8"?>
<formControlPr xmlns="http://schemas.microsoft.com/office/spreadsheetml/2009/9/main" objectType="Spin" dx="15" fmlaLink="NeoBerIV!$F$22" max="30000" page="10" val="0"/>
</file>

<file path=xl/ctrlProps/ctrlProp612.xml><?xml version="1.0" encoding="utf-8"?>
<formControlPr xmlns="http://schemas.microsoft.com/office/spreadsheetml/2009/9/main" objectType="Spin" dx="15" fmlaLink="NeoBerIV!$F$23" max="30000" page="10" val="0"/>
</file>

<file path=xl/ctrlProps/ctrlProp613.xml><?xml version="1.0" encoding="utf-8"?>
<formControlPr xmlns="http://schemas.microsoft.com/office/spreadsheetml/2009/9/main" objectType="Spin" dx="15" fmlaLink="NeoBerIV!$F$24" max="30000" page="10" val="0"/>
</file>

<file path=xl/ctrlProps/ctrlProp614.xml><?xml version="1.0" encoding="utf-8"?>
<formControlPr xmlns="http://schemas.microsoft.com/office/spreadsheetml/2009/9/main" objectType="Spin" dx="15" fmlaLink="NeoBerIV!$F$25" max="30000" page="10" val="0"/>
</file>

<file path=xl/ctrlProps/ctrlProp615.xml><?xml version="1.0" encoding="utf-8"?>
<formControlPr xmlns="http://schemas.microsoft.com/office/spreadsheetml/2009/9/main" objectType="Spin" dx="15" fmlaLink="NeoBerIV!$F$26" max="30000" page="10" val="0"/>
</file>

<file path=xl/ctrlProps/ctrlProp616.xml><?xml version="1.0" encoding="utf-8"?>
<formControlPr xmlns="http://schemas.microsoft.com/office/spreadsheetml/2009/9/main" objectType="Radio" firstButton="1" fmlaLink="NeoBerIV!$J$14" lockText="1"/>
</file>

<file path=xl/ctrlProps/ctrlProp617.xml><?xml version="1.0" encoding="utf-8"?>
<formControlPr xmlns="http://schemas.microsoft.com/office/spreadsheetml/2009/9/main" objectType="Radio" checked="Checked" lockText="1"/>
</file>

<file path=xl/ctrlProps/ctrlProp618.xml><?xml version="1.0" encoding="utf-8"?>
<formControlPr xmlns="http://schemas.microsoft.com/office/spreadsheetml/2009/9/main" objectType="Spin" dx="15" fmlaLink="NeoBerIV!$D$10" max="24" page="10" val="0"/>
</file>

<file path=xl/ctrlProps/ctrlProp619.xml><?xml version="1.0" encoding="utf-8"?>
<formControlPr xmlns="http://schemas.microsoft.com/office/spreadsheetml/2009/9/main" objectType="Spin" dx="15" fmlaLink="NeoBerIV!$D$11" inc="5" max="30000" page="10" val="0"/>
</file>

<file path=xl/ctrlProps/ctrlProp620.xml><?xml version="1.0" encoding="utf-8"?>
<formControlPr xmlns="http://schemas.microsoft.com/office/spreadsheetml/2009/9/main" objectType="Spin" dx="15" fmlaLink="NeoBerIV!$D$16" inc="5" max="30000" page="10" val="5000"/>
</file>

<file path=xl/ctrlProps/ctrlProp621.xml><?xml version="1.0" encoding="utf-8"?>
<formControlPr xmlns="http://schemas.microsoft.com/office/spreadsheetml/2009/9/main" objectType="Radio" checked="Checked" firstButton="1" fmlaLink="NeoBerIV!$D$36" lockText="1"/>
</file>

<file path=xl/ctrlProps/ctrlProp622.xml><?xml version="1.0" encoding="utf-8"?>
<formControlPr xmlns="http://schemas.microsoft.com/office/spreadsheetml/2009/9/main" objectType="Radio" lockText="1"/>
</file>

<file path=xl/ctrlProps/ctrlProp623.xml><?xml version="1.0" encoding="utf-8"?>
<formControlPr xmlns="http://schemas.microsoft.com/office/spreadsheetml/2009/9/main" objectType="Radio" lockText="1"/>
</file>

<file path=xl/ctrlProps/ctrlProp624.xml><?xml version="1.0" encoding="utf-8"?>
<formControlPr xmlns="http://schemas.microsoft.com/office/spreadsheetml/2009/9/main" objectType="Spin" dx="15" fmlaLink="NeoBerIV!$D$37" inc="10" max="30000" page="10" val="5000"/>
</file>

<file path=xl/ctrlProps/ctrlProp625.xml><?xml version="1.0" encoding="utf-8"?>
<formControlPr xmlns="http://schemas.microsoft.com/office/spreadsheetml/2009/9/main" objectType="Spin" dx="15" fmlaLink="NeoBerIV!$D$38" inc="10" max="30000" page="10" val="5000"/>
</file>

<file path=xl/ctrlProps/ctrlProp626.xml><?xml version="1.0" encoding="utf-8"?>
<formControlPr xmlns="http://schemas.microsoft.com/office/spreadsheetml/2009/9/main" objectType="Spin" dx="15" fmlaLink="NeoBerIV!$D$39" inc="10" max="30000" page="10" val="5000"/>
</file>

<file path=xl/ctrlProps/ctrlProp627.xml><?xml version="1.0" encoding="utf-8"?>
<formControlPr xmlns="http://schemas.microsoft.com/office/spreadsheetml/2009/9/main" objectType="Spin" dx="15" fmlaLink="NeoBerIV!$D$40" max="30000" page="10" val="5000"/>
</file>

<file path=xl/ctrlProps/ctrlProp628.xml><?xml version="1.0" encoding="utf-8"?>
<formControlPr xmlns="http://schemas.microsoft.com/office/spreadsheetml/2009/9/main" objectType="Spin" dx="15" fmlaLink="NeoBerIV!$D$41" max="30000" page="10" val="5000"/>
</file>

<file path=xl/ctrlProps/ctrlProp629.xml><?xml version="1.0" encoding="utf-8"?>
<formControlPr xmlns="http://schemas.microsoft.com/office/spreadsheetml/2009/9/main" objectType="Spin" dx="15" fmlaLink="NeoBerIV!$D$42" max="30000" page="10" val="5000"/>
</file>

<file path=xl/ctrlProps/ctrlProp630.xml><?xml version="1.0" encoding="utf-8"?>
<formControlPr xmlns="http://schemas.microsoft.com/office/spreadsheetml/2009/9/main" objectType="Spin" dx="15" fmlaLink="NeoBerIV!$D$43" max="30000" page="10" val="5000"/>
</file>

<file path=xl/ctrlProps/ctrlProp631.xml><?xml version="1.0" encoding="utf-8"?>
<formControlPr xmlns="http://schemas.microsoft.com/office/spreadsheetml/2009/9/main" objectType="Spin" dx="15" fmlaLink="NeoBerIV!$D$37" max="30000" page="10" val="5000"/>
</file>

<file path=xl/ctrlProps/ctrlProp632.xml><?xml version="1.0" encoding="utf-8"?>
<formControlPr xmlns="http://schemas.microsoft.com/office/spreadsheetml/2009/9/main" objectType="Spin" dx="15" fmlaLink="NeoBerIV!$D$38" max="30000" page="10" val="5000"/>
</file>

<file path=xl/ctrlProps/ctrlProp633.xml><?xml version="1.0" encoding="utf-8"?>
<formControlPr xmlns="http://schemas.microsoft.com/office/spreadsheetml/2009/9/main" objectType="Spin" dx="15" fmlaLink="NeoBerIV!$D$44" max="30000" page="10" val="5000"/>
</file>

<file path=xl/ctrlProps/ctrlProp634.xml><?xml version="1.0" encoding="utf-8"?>
<formControlPr xmlns="http://schemas.microsoft.com/office/spreadsheetml/2009/9/main" objectType="Radio" firstButton="1" fmlaLink="NeoBerIV!$B$15" lockText="1"/>
</file>

<file path=xl/ctrlProps/ctrlProp635.xml><?xml version="1.0" encoding="utf-8"?>
<formControlPr xmlns="http://schemas.microsoft.com/office/spreadsheetml/2009/9/main" objectType="Radio" checked="Checked" lockText="1"/>
</file>

<file path=xl/ctrlProps/ctrlProp636.xml><?xml version="1.0" encoding="utf-8"?>
<formControlPr xmlns="http://schemas.microsoft.com/office/spreadsheetml/2009/9/main" objectType="Drop" dropStyle="combo" dx="16" fmlaLink="NeoBerIV!$E$20" fmlaRange="tbl_Neo_Opl" sel="1" val="8"/>
</file>

<file path=xl/ctrlProps/ctrlProp637.xml><?xml version="1.0" encoding="utf-8"?>
<formControlPr xmlns="http://schemas.microsoft.com/office/spreadsheetml/2009/9/main" objectType="Drop" dropStyle="combo" dx="16" fmlaLink="NeoBerIV!$E$21" fmlaRange="tbl_Neo_Opl" sel="1" val="0"/>
</file>

<file path=xl/ctrlProps/ctrlProp638.xml><?xml version="1.0" encoding="utf-8"?>
<formControlPr xmlns="http://schemas.microsoft.com/office/spreadsheetml/2009/9/main" objectType="Drop" dropStyle="combo" dx="16" fmlaLink="NeoBerIV!$E$22" fmlaRange="tbl_Neo_Opl" sel="1" val="0"/>
</file>

<file path=xl/ctrlProps/ctrlProp639.xml><?xml version="1.0" encoding="utf-8"?>
<formControlPr xmlns="http://schemas.microsoft.com/office/spreadsheetml/2009/9/main" objectType="Drop" dropStyle="combo" dx="16" fmlaLink="NeoBerIV!$E$23" fmlaRange="tbl_Neo_Opl" sel="1" val="0"/>
</file>

<file path=xl/ctrlProps/ctrlProp640.xml><?xml version="1.0" encoding="utf-8"?>
<formControlPr xmlns="http://schemas.microsoft.com/office/spreadsheetml/2009/9/main" objectType="Drop" dropStyle="combo" dx="16" fmlaLink="NeoBerIV!$E$24" fmlaRange="tbl_Neo_Opl" sel="1" val="0"/>
</file>

<file path=xl/ctrlProps/ctrlProp641.xml><?xml version="1.0" encoding="utf-8"?>
<formControlPr xmlns="http://schemas.microsoft.com/office/spreadsheetml/2009/9/main" objectType="Drop" dropStyle="combo" dx="16" fmlaLink="NeoBerIV!$E$25" fmlaRange="tbl_Neo_Opl" sel="1" val="0"/>
</file>

<file path=xl/ctrlProps/ctrlProp642.xml><?xml version="1.0" encoding="utf-8"?>
<formControlPr xmlns="http://schemas.microsoft.com/office/spreadsheetml/2009/9/main" objectType="Spin" dx="15" fmlaLink="NeoBerIV!$D$20" max="30000" page="10" val="0"/>
</file>

<file path=xl/ctrlProps/ctrlProp643.xml><?xml version="1.0" encoding="utf-8"?>
<formControlPr xmlns="http://schemas.microsoft.com/office/spreadsheetml/2009/9/main" objectType="Spin" dx="15" fmlaLink="NeoBerIV!$D$21" max="30000" page="10" val="0"/>
</file>

<file path=xl/ctrlProps/ctrlProp644.xml><?xml version="1.0" encoding="utf-8"?>
<formControlPr xmlns="http://schemas.microsoft.com/office/spreadsheetml/2009/9/main" objectType="Spin" dx="15" fmlaLink="NeoBerIV!$D$22" max="30000" page="10" val="0"/>
</file>

<file path=xl/ctrlProps/ctrlProp645.xml><?xml version="1.0" encoding="utf-8"?>
<formControlPr xmlns="http://schemas.microsoft.com/office/spreadsheetml/2009/9/main" objectType="Spin" dx="15" fmlaLink="NeoBerIV!$D$23" max="30000" page="10" val="0"/>
</file>

<file path=xl/ctrlProps/ctrlProp646.xml><?xml version="1.0" encoding="utf-8"?>
<formControlPr xmlns="http://schemas.microsoft.com/office/spreadsheetml/2009/9/main" objectType="Spin" dx="15" fmlaLink="NeoBerIV!$D$24" max="30000" page="10" val="0"/>
</file>

<file path=xl/ctrlProps/ctrlProp647.xml><?xml version="1.0" encoding="utf-8"?>
<formControlPr xmlns="http://schemas.microsoft.com/office/spreadsheetml/2009/9/main" objectType="Spin" dx="15" fmlaLink="NeoBerIV!$D$25" max="30000" page="10" val="0"/>
</file>

<file path=xl/ctrlProps/ctrlProp648.xml><?xml version="1.0" encoding="utf-8"?>
<formControlPr xmlns="http://schemas.microsoft.com/office/spreadsheetml/2009/9/main" objectType="Spin" dx="15" fmlaLink="NeoBerIV!$D$26" max="30000" page="10" val="0"/>
</file>

<file path=xl/ctrlProps/ctrlProp649.xml><?xml version="1.0" encoding="utf-8"?>
<formControlPr xmlns="http://schemas.microsoft.com/office/spreadsheetml/2009/9/main" objectType="Spin" dx="15" fmlaLink="NeoBerIV!$C$20" inc="10" max="30000" page="10" val="0"/>
</file>

<file path=xl/ctrlProps/ctrlProp650.xml><?xml version="1.0" encoding="utf-8"?>
<formControlPr xmlns="http://schemas.microsoft.com/office/spreadsheetml/2009/9/main" objectType="Spin" dx="15" fmlaLink="NeoBerIV!$C$21" inc="10" max="30000" page="10" val="0"/>
</file>

<file path=xl/ctrlProps/ctrlProp651.xml><?xml version="1.0" encoding="utf-8"?>
<formControlPr xmlns="http://schemas.microsoft.com/office/spreadsheetml/2009/9/main" objectType="Spin" dx="15" fmlaLink="NeoBerIV!$C$22" inc="10" max="30000" page="10" val="0"/>
</file>

<file path=xl/ctrlProps/ctrlProp652.xml><?xml version="1.0" encoding="utf-8"?>
<formControlPr xmlns="http://schemas.microsoft.com/office/spreadsheetml/2009/9/main" objectType="Spin" dx="15" fmlaLink="NeoBerIV!$C$23" inc="10" max="30000" page="10" val="0"/>
</file>

<file path=xl/ctrlProps/ctrlProp653.xml><?xml version="1.0" encoding="utf-8"?>
<formControlPr xmlns="http://schemas.microsoft.com/office/spreadsheetml/2009/9/main" objectType="Spin" dx="15" fmlaLink="NeoBerIV!$C$24" inc="10" max="30000" page="10" val="0"/>
</file>

<file path=xl/ctrlProps/ctrlProp654.xml><?xml version="1.0" encoding="utf-8"?>
<formControlPr xmlns="http://schemas.microsoft.com/office/spreadsheetml/2009/9/main" objectType="Spin" dx="15" fmlaLink="NeoBerIV!$C$25" inc="10" max="30000" page="10" val="0"/>
</file>

<file path=xl/ctrlProps/ctrlProp655.xml><?xml version="1.0" encoding="utf-8"?>
<formControlPr xmlns="http://schemas.microsoft.com/office/spreadsheetml/2009/9/main" objectType="Spin" dx="15" fmlaLink="NeoBerIV!$C$26" inc="10" max="30000" page="10" val="0"/>
</file>

<file path=xl/ctrlProps/ctrlProp656.xml><?xml version="1.0" encoding="utf-8"?>
<formControlPr xmlns="http://schemas.microsoft.com/office/spreadsheetml/2009/9/main" objectType="GBox"/>
</file>

<file path=xl/ctrlProps/ctrlProp657.xml><?xml version="1.0" encoding="utf-8"?>
<formControlPr xmlns="http://schemas.microsoft.com/office/spreadsheetml/2009/9/main" objectType="GBox" noThreeD="1"/>
</file>

<file path=xl/ctrlProps/ctrlProp658.xml><?xml version="1.0" encoding="utf-8"?>
<formControlPr xmlns="http://schemas.microsoft.com/office/spreadsheetml/2009/9/main" objectType="CheckBox" fmlaLink="NeoBerIV!$J$18" lockText="1"/>
</file>

<file path=xl/ctrlProps/ctrlProp659.xml><?xml version="1.0" encoding="utf-8"?>
<formControlPr xmlns="http://schemas.microsoft.com/office/spreadsheetml/2009/9/main" objectType="CheckBox" fmlaLink="NeoBerIV!$J$20" lockText="1"/>
</file>

<file path=xl/ctrlProps/ctrlProp660.xml><?xml version="1.0" encoding="utf-8"?>
<formControlPr xmlns="http://schemas.microsoft.com/office/spreadsheetml/2009/9/main" objectType="CheckBox" fmlaLink="NeoBerIV!$J$21" lockText="1"/>
</file>

<file path=xl/ctrlProps/ctrlProp661.xml><?xml version="1.0" encoding="utf-8"?>
<formControlPr xmlns="http://schemas.microsoft.com/office/spreadsheetml/2009/9/main" objectType="CheckBox" fmlaLink="NeoBerIV!$J$22" lockText="1"/>
</file>

<file path=xl/ctrlProps/ctrlProp662.xml><?xml version="1.0" encoding="utf-8"?>
<formControlPr xmlns="http://schemas.microsoft.com/office/spreadsheetml/2009/9/main" objectType="CheckBox" fmlaLink="NeoBerIV!$J$23" lockText="1"/>
</file>

<file path=xl/ctrlProps/ctrlProp663.xml><?xml version="1.0" encoding="utf-8"?>
<formControlPr xmlns="http://schemas.microsoft.com/office/spreadsheetml/2009/9/main" objectType="CheckBox" fmlaLink="NeoBerIV!$J$24" lockText="1"/>
</file>

<file path=xl/ctrlProps/ctrlProp664.xml><?xml version="1.0" encoding="utf-8"?>
<formControlPr xmlns="http://schemas.microsoft.com/office/spreadsheetml/2009/9/main" objectType="CheckBox" fmlaLink="NeoBerIV!$J$25" lockText="1"/>
</file>

<file path=xl/ctrlProps/ctrlProp665.xml><?xml version="1.0" encoding="utf-8"?>
<formControlPr xmlns="http://schemas.microsoft.com/office/spreadsheetml/2009/9/main" objectType="CheckBox" lockText="1"/>
</file>

<file path=xl/ctrlProps/ctrlProp666.xml><?xml version="1.0" encoding="utf-8"?>
<formControlPr xmlns="http://schemas.microsoft.com/office/spreadsheetml/2009/9/main" objectType="Drop" dropStyle="combo" dx="16" fmlaLink="NeoBerIV!$B$27" fmlaRange="tbl_Neo_MedIV" sel="1" val="0"/>
</file>

<file path=xl/ctrlProps/ctrlProp667.xml><?xml version="1.0" encoding="utf-8"?>
<formControlPr xmlns="http://schemas.microsoft.com/office/spreadsheetml/2009/9/main" objectType="Spin" dx="15" fmlaLink="NeoBerIV!$F$27" max="30000" page="10" val="0"/>
</file>

<file path=xl/ctrlProps/ctrlProp668.xml><?xml version="1.0" encoding="utf-8"?>
<formControlPr xmlns="http://schemas.microsoft.com/office/spreadsheetml/2009/9/main" objectType="Drop" dropStyle="combo" dx="16" fmlaLink="NeoBerIV!$E$26" fmlaRange="tbl_Neo_Opl" sel="1" val="0"/>
</file>

<file path=xl/ctrlProps/ctrlProp669.xml><?xml version="1.0" encoding="utf-8"?>
<formControlPr xmlns="http://schemas.microsoft.com/office/spreadsheetml/2009/9/main" objectType="Spin" dx="15" fmlaLink="NeoBerIV!$D$27" max="30000" page="10" val="0"/>
</file>

<file path=xl/ctrlProps/ctrlProp670.xml><?xml version="1.0" encoding="utf-8"?>
<formControlPr xmlns="http://schemas.microsoft.com/office/spreadsheetml/2009/9/main" objectType="Spin" dx="15" fmlaLink="NeoBerIV!$C$27" inc="10" max="30000" page="10" val="0"/>
</file>

<file path=xl/ctrlProps/ctrlProp671.xml><?xml version="1.0" encoding="utf-8"?>
<formControlPr xmlns="http://schemas.microsoft.com/office/spreadsheetml/2009/9/main" objectType="CheckBox" fmlaLink="NeoBerIV!$J$26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V!$F$28" max="30000" page="10" val="0"/>
</file>

<file path=xl/ctrlProps/ctrlProp674.xml><?xml version="1.0" encoding="utf-8"?>
<formControlPr xmlns="http://schemas.microsoft.com/office/spreadsheetml/2009/9/main" objectType="Drop" dropStyle="combo" dx="16" fmlaLink="NeoBerIV!$E$27" fmlaRange="tbl_Neo_Opl" sel="1" val="0"/>
</file>

<file path=xl/ctrlProps/ctrlProp675.xml><?xml version="1.0" encoding="utf-8"?>
<formControlPr xmlns="http://schemas.microsoft.com/office/spreadsheetml/2009/9/main" objectType="Drop" dropStyle="combo" dx="16" fmlaLink="NeoBerIV!$E$28" fmlaRange="tbl_Neo_Opl" sel="1" val="0"/>
</file>

<file path=xl/ctrlProps/ctrlProp676.xml><?xml version="1.0" encoding="utf-8"?>
<formControlPr xmlns="http://schemas.microsoft.com/office/spreadsheetml/2009/9/main" objectType="CheckBox" fmlaLink="NeoBerIV!$J$27" lockText="1"/>
</file>

<file path=xl/ctrlProps/ctrlProp677.xml><?xml version="1.0" encoding="utf-8"?>
<formControlPr xmlns="http://schemas.microsoft.com/office/spreadsheetml/2009/9/main" objectType="CheckBox" fmlaLink="NeoBerIV!$J$28" lockText="1"/>
</file>

<file path=xl/ctrlProps/ctrlProp678.xml><?xml version="1.0" encoding="utf-8"?>
<formControlPr xmlns="http://schemas.microsoft.com/office/spreadsheetml/2009/9/main" objectType="Spin" dx="15" fmlaLink="NeoBerIV!$D$35" max="30000" page="10" val="5000"/>
</file>

<file path=xl/ctrlProps/ctrlProp679.xml><?xml version="1.0" encoding="utf-8"?>
<formControlPr xmlns="http://schemas.microsoft.com/office/spreadsheetml/2009/9/main" objectType="Drop" dropStyle="combo" dx="16" fmlaLink="NeoBerIV!$D$45" fmlaRange="NeoTblLijst!$A$4:$A$13" sel="2" val="0"/>
</file>

<file path=xl/ctrlProps/ctrlProp680.xml><?xml version="1.0" encoding="utf-8"?>
<formControlPr xmlns="http://schemas.microsoft.com/office/spreadsheetml/2009/9/main" objectType="Spin" dx="15" fmlaLink="NeoBerIV!$D$4" max="43" min="24" page="10" val="30"/>
</file>

<file path=xl/ctrlProps/ctrlProp681.xml><?xml version="1.0" encoding="utf-8"?>
<formControlPr xmlns="http://schemas.microsoft.com/office/spreadsheetml/2009/9/main" objectType="Spin" dx="15" fmlaLink="NeoBerIV!$D$5" max="6" page="10" val="0"/>
</file>

<file path=xl/ctrlProps/ctrlProp682.xml><?xml version="1.0" encoding="utf-8"?>
<formControlPr xmlns="http://schemas.microsoft.com/office/spreadsheetml/2009/9/main" objectType="Drop" dropStyle="combo" dx="16" fmlaLink="NeoBerIV!$B$54" fmlaRange="tbl_Neo_NutrMMToev" sel="5" val="0"/>
</file>

<file path=xl/ctrlProps/ctrlProp683.xml><?xml version="1.0" encoding="utf-8"?>
<formControlPr xmlns="http://schemas.microsoft.com/office/spreadsheetml/2009/9/main" objectType="Drop" dropStyle="combo" dx="16" fmlaLink="NeoBerIV!$B$55" fmlaRange="NeoTblLijst!#REF!" sel="0" val="0"/>
</file>

<file path=xl/ctrlProps/ctrlProp684.xml><?xml version="1.0" encoding="utf-8"?>
<formControlPr xmlns="http://schemas.microsoft.com/office/spreadsheetml/2009/9/main" objectType="Drop" dropStyle="combo" dx="16" fmlaLink="NeoBerIV!$D$14" fmlaRange="tbl_Neo_Pos" sel="7" val="0"/>
</file>

<file path=xl/ctrlProps/ctrlProp685.xml><?xml version="1.0" encoding="utf-8"?>
<formControlPr xmlns="http://schemas.microsoft.com/office/spreadsheetml/2009/9/main" objectType="Spin" dx="15" fmlaLink="NeoBerIV!$D$12" max="24" page="10" val="0"/>
</file>

<file path=xl/ctrlProps/ctrlProp686.xml><?xml version="1.0" encoding="utf-8"?>
<formControlPr xmlns="http://schemas.microsoft.com/office/spreadsheetml/2009/9/main" objectType="Spin" dx="15" fmlaLink="NeoBerIV!$D$13" inc="5" max="30000" page="10" val="0"/>
</file>

<file path=xl/ctrlProps/ctrlProp687.xml><?xml version="1.0" encoding="utf-8"?>
<formControlPr xmlns="http://schemas.microsoft.com/office/spreadsheetml/2009/9/main" objectType="Drop" dropStyle="combo" dx="16" fmlaLink="NeoBerIV!$B$55" fmlaRange="tbl_Neo_NutrMMToev" sel="6" val="0"/>
</file>

<file path=xl/ctrlProps/ctrlProp688.xml><?xml version="1.0" encoding="utf-8"?>
<formControlPr xmlns="http://schemas.microsoft.com/office/spreadsheetml/2009/9/main" objectType="Drop" dropStyle="combo" dx="16" fmlaLink="NeoBerIV!$B$56" fmlaRange="tbl_Neo_NutrMMToev" sel="2" val="0"/>
</file>

<file path=xl/ctrlProps/ctrlProp689.xml><?xml version="1.0" encoding="utf-8"?>
<formControlPr xmlns="http://schemas.microsoft.com/office/spreadsheetml/2009/9/main" objectType="Drop" dropStyle="combo" dx="16" fmlaLink="NeoBerIV!$B$28" fmlaRange="tbl_Neo_MedIV" sel="1" val="0"/>
</file>

<file path=xl/ctrlProps/ctrlProp690.xml><?xml version="1.0" encoding="utf-8"?>
<formControlPr xmlns="http://schemas.microsoft.com/office/spreadsheetml/2009/9/main" objectType="Spin" dx="15" fmlaLink="NeoBerIV!$D$28" max="30000" page="10" val="0"/>
</file>

<file path=xl/ctrlProps/ctrlProp691.xml><?xml version="1.0" encoding="utf-8"?>
<formControlPr xmlns="http://schemas.microsoft.com/office/spreadsheetml/2009/9/main" objectType="Spin" dx="15" fmlaLink="NeoBerIV!$C$28" inc="10" max="30000" page="10" val="0"/>
</file>

<file path=xl/ctrlProps/ctrlProp692.xml><?xml version="1.0" encoding="utf-8"?>
<formControlPr xmlns="http://schemas.microsoft.com/office/spreadsheetml/2009/9/main" objectType="Drop" dropStyle="combo" dx="16" fmlaLink="NeoBerIV!$E$28" fmlaRange="tbl_Neo_Opl" sel="1" val="0"/>
</file>

<file path=xl/ctrlProps/ctrlProp693.xml><?xml version="1.0" encoding="utf-8"?>
<formControlPr xmlns="http://schemas.microsoft.com/office/spreadsheetml/2009/9/main" objectType="Drop" dropStyle="combo" dx="16" fmlaLink="NeoBerIV!$E$29" fmlaRange="tbl_Neo_Opl" sel="0" val="8"/>
</file>

<file path=xl/ctrlProps/ctrlProp694.xml><?xml version="1.0" encoding="utf-8"?>
<formControlPr xmlns="http://schemas.microsoft.com/office/spreadsheetml/2009/9/main" objectType="Spin" dx="15" fmlaLink="NeoBerIV!$F$29" max="30000" page="10" val="0"/>
</file>

<file path=xl/ctrlProps/ctrlProp695.xml><?xml version="1.0" encoding="utf-8"?>
<formControlPr xmlns="http://schemas.microsoft.com/office/spreadsheetml/2009/9/main" objectType="CheckBox" fmlaLink="NeoBerIV!$J$29" lockText="1"/>
</file>

<file path=xl/ctrlProps/ctrlProp696.xml><?xml version="1.0" encoding="utf-8"?>
<formControlPr xmlns="http://schemas.microsoft.com/office/spreadsheetml/2009/9/main" objectType="Drop" dropStyle="combo" dx="16" fmlaLink="NeoBerIV!$E$30" fmlaRange="tbl_Neo_Opl" sel="0" val="0"/>
</file>

<file path=xl/ctrlProps/ctrlProp697.xml><?xml version="1.0" encoding="utf-8"?>
<formControlPr xmlns="http://schemas.microsoft.com/office/spreadsheetml/2009/9/main" objectType="Spin" dx="15" fmlaLink="NeoBerIV!$F$30" max="30000" page="10" val="0"/>
</file>

<file path=xl/ctrlProps/ctrlProp698.xml><?xml version="1.0" encoding="utf-8"?>
<formControlPr xmlns="http://schemas.microsoft.com/office/spreadsheetml/2009/9/main" objectType="CheckBox" fmlaLink="NeoBerIV!$J$30" lockText="1"/>
</file>

<file path=xl/ctrlProps/ctrlProp699.xml><?xml version="1.0" encoding="utf-8"?>
<formControlPr xmlns="http://schemas.microsoft.com/office/spreadsheetml/2009/9/main" objectType="CheckBox" fmlaLink="NeoBerIV!$J$30" lockText="1"/>
</file>

<file path=xl/ctrlProps/ctrlProp700.xml><?xml version="1.0" encoding="utf-8"?>
<formControlPr xmlns="http://schemas.microsoft.com/office/spreadsheetml/2009/9/main" objectType="Drop" dropStyle="combo" dx="16" fmlaLink="NeoBerIV!$E$31" fmlaRange="tbl_Neo_Opl" sel="0" val="0"/>
</file>

<file path=xl/ctrlProps/ctrlProp701.xml><?xml version="1.0" encoding="utf-8"?>
<formControlPr xmlns="http://schemas.microsoft.com/office/spreadsheetml/2009/9/main" objectType="Spin" dx="15" fmlaLink="NeoBerIV!$F$31" max="30000" page="10" val="0"/>
</file>

<file path=xl/ctrlProps/ctrlProp702.xml><?xml version="1.0" encoding="utf-8"?>
<formControlPr xmlns="http://schemas.microsoft.com/office/spreadsheetml/2009/9/main" objectType="CheckBox" fmlaLink="NeoBerIV!$J$31" lockText="1"/>
</file>

<file path=xl/ctrlProps/ctrlProp703.xml><?xml version="1.0" encoding="utf-8"?>
<formControlPr xmlns="http://schemas.microsoft.com/office/spreadsheetml/2009/9/main" objectType="Drop" dropStyle="combo" dx="16" fmlaLink="NeoBerIV!$B$59" fmlaRange="tbl_Neo_NutrKunstToev" sel="3" val="0"/>
</file>

<file path=xl/ctrlProps/ctrlProp704.xml><?xml version="1.0" encoding="utf-8"?>
<formControlPr xmlns="http://schemas.microsoft.com/office/spreadsheetml/2009/9/main" objectType="Drop" dropStyle="combo" dx="16" fmlaLink="NeoBerIV!$B$55" fmlaRange="NeoTblLijst!#REF!" sel="0" val="0"/>
</file>

<file path=xl/ctrlProps/ctrlProp705.xml><?xml version="1.0" encoding="utf-8"?>
<formControlPr xmlns="http://schemas.microsoft.com/office/spreadsheetml/2009/9/main" objectType="Drop" dropStyle="combo" dx="16" fmlaLink="NeoBerIV!$B$60" fmlaRange="tbl_Neo_NutrKunstToev" sel="4" val="0"/>
</file>

<file path=xl/ctrlProps/ctrlProp706.xml><?xml version="1.0" encoding="utf-8"?>
<formControlPr xmlns="http://schemas.microsoft.com/office/spreadsheetml/2009/9/main" objectType="Drop" dropStyle="combo" dx="16" fmlaLink="NeoBerIV!$B$61" fmlaRange="tbl_Neo_NutrKunstToev" sel="5" val="0"/>
</file>

<file path=xl/ctrlProps/ctrlProp707.xml><?xml version="1.0" encoding="utf-8"?>
<formControlPr xmlns="http://schemas.microsoft.com/office/spreadsheetml/2009/9/main" objectType="Drop" dropStyle="combo" dx="16" fmlaLink="NeoBerIV!$K$58" fmlaRange="tbl_Neo_NutrToevWaard" sel="1" val="0"/>
</file>

<file path=xl/ctrlProps/ctrlProp708.xml><?xml version="1.0" encoding="utf-8"?>
<formControlPr xmlns="http://schemas.microsoft.com/office/spreadsheetml/2009/9/main" objectType="Drop" dropStyle="combo" dx="16" fmlaLink="NeoBerIV!$J$59" fmlaRange="tbl_Neo_NutrToevWaard" sel="5" val="0"/>
</file>

<file path=xl/ctrlProps/ctrlProp709.xml><?xml version="1.0" encoding="utf-8"?>
<formControlPr xmlns="http://schemas.microsoft.com/office/spreadsheetml/2009/9/main" objectType="Drop" dropStyle="combo" dx="16" fmlaLink="NeoBerIV!$J$60" fmlaRange="tbl_Neo_NutrToevWaard" sel="6" val="0"/>
</file>

<file path=xl/ctrlProps/ctrlProp710.xml><?xml version="1.0" encoding="utf-8"?>
<formControlPr xmlns="http://schemas.microsoft.com/office/spreadsheetml/2009/9/main" objectType="Drop" dropStyle="combo" dx="16" fmlaLink="NeoBerIV!$J$61" fmlaRange="tbl_Neo_NutrToevWaard" sel="5" val="0"/>
</file>

<file path=xl/ctrlProps/ctrlProp711.xml><?xml version="1.0" encoding="utf-8"?>
<formControlPr xmlns="http://schemas.microsoft.com/office/spreadsheetml/2009/9/main" objectType="Drop" dropStyle="combo" dx="16" fmlaLink="NeoBerIV!$B$53" fmlaRange="tbl_Neo_NutrMMToev" sel="2" val="0"/>
</file>

<file path=xl/ctrlProps/ctrlProp712.xml><?xml version="1.0" encoding="utf-8"?>
<formControlPr xmlns="http://schemas.microsoft.com/office/spreadsheetml/2009/9/main" objectType="Drop" dropStyle="combo" dx="16" fmlaLink="NeoBerIV!$B$58" fmlaRange="tbl_Neo_NutrKunstToev" sel="2" val="0"/>
</file>

<file path=xl/ctrlProps/ctrlProp713.xml><?xml version="1.0" encoding="utf-8"?>
<formControlPr xmlns="http://schemas.microsoft.com/office/spreadsheetml/2009/9/main" objectType="Drop" dropStyle="combo" dx="16" fmlaLink="NeoBerIV!$J$58" fmlaRange="tbl_Neo_NutrToevWaard" sel="4" val="0"/>
</file>

<file path=xl/ctrlProps/ctrlProp714.xml><?xml version="1.0" encoding="utf-8"?>
<formControlPr xmlns="http://schemas.microsoft.com/office/spreadsheetml/2009/9/main" objectType="Drop" dropStyle="combo" dx="16" fmlaLink="NeoBerIV!$J$52" fmlaRange="tbl_Neo_NutrBMFWaard" sel="3" val="0"/>
</file>

<file path=xl/ctrlProps/ctrlProp715.xml><?xml version="1.0" encoding="utf-8"?>
<formControlPr xmlns="http://schemas.microsoft.com/office/spreadsheetml/2009/9/main" objectType="Drop" dropStyle="combo" dx="16" fmlaLink="NeoBerIV!$J$54" fmlaRange="tbl_Neo_NutrToevWaard" sel="4" val="0"/>
</file>

<file path=xl/ctrlProps/ctrlProp716.xml><?xml version="1.0" encoding="utf-8"?>
<formControlPr xmlns="http://schemas.microsoft.com/office/spreadsheetml/2009/9/main" objectType="Drop" dropStyle="combo" dx="16" fmlaLink="NeoBerIV!$J$55" fmlaRange="tbl_Neo_NutrToevWaard" sel="6" val="0"/>
</file>

<file path=xl/ctrlProps/ctrlProp717.xml><?xml version="1.0" encoding="utf-8"?>
<formControlPr xmlns="http://schemas.microsoft.com/office/spreadsheetml/2009/9/main" objectType="Drop" dropStyle="combo" dx="16" fmlaLink="NeoBerIV!$J$56" fmlaRange="tbl_Neo_NutrToevWaard" sel="3" val="0"/>
</file>

<file path=xl/ctrlProps/ctrlProp718.xml><?xml version="1.0" encoding="utf-8"?>
<formControlPr xmlns="http://schemas.microsoft.com/office/spreadsheetml/2009/9/main" objectType="Drop" dropStyle="combo" dx="16" fmlaLink="NeoBerIV!$J$53" fmlaRange="tbl_Neo_NutrToevWaard" sel="5" val="0"/>
</file>

<file path=xl/ctrlProps/ctrlProp719.xml><?xml version="1.0" encoding="utf-8"?>
<formControlPr xmlns="http://schemas.microsoft.com/office/spreadsheetml/2009/9/main" objectType="CheckBox" fmlaLink="NeoBerIV!$B$17" lockText="1" noThreeD="1"/>
</file>

<file path=xl/ctrlProps/ctrlProp720.xml><?xml version="1.0" encoding="utf-8"?>
<formControlPr xmlns="http://schemas.microsoft.com/office/spreadsheetml/2009/9/main" objectType="Spin" dx="15" fmlaLink="NeoBerIV!$F$21" max="30000" page="10" val="0"/>
</file>

<file path=xl/ctrlProps/ctrlProp721.xml><?xml version="1.0" encoding="utf-8"?>
<formControlPr xmlns="http://schemas.microsoft.com/office/spreadsheetml/2009/9/main" objectType="Spin" dx="15" fmlaLink="NeoBerIV!$F$22" max="30000" page="10" val="0"/>
</file>

<file path=xl/ctrlProps/ctrlProp722.xml><?xml version="1.0" encoding="utf-8"?>
<formControlPr xmlns="http://schemas.microsoft.com/office/spreadsheetml/2009/9/main" objectType="Spin" dx="15" fmlaLink="NeoBerIV!$F$23" max="30000" page="10" val="0"/>
</file>

<file path=xl/ctrlProps/ctrlProp723.xml><?xml version="1.0" encoding="utf-8"?>
<formControlPr xmlns="http://schemas.microsoft.com/office/spreadsheetml/2009/9/main" objectType="Spin" dx="15" fmlaLink="NeoBerIV!$F$24" max="30000" page="10" val="0"/>
</file>

<file path=xl/ctrlProps/ctrlProp724.xml><?xml version="1.0" encoding="utf-8"?>
<formControlPr xmlns="http://schemas.microsoft.com/office/spreadsheetml/2009/9/main" objectType="Spin" dx="15" fmlaLink="NeoBerIV!$F$25" max="30000" page="10" val="0"/>
</file>

<file path=xl/ctrlProps/ctrlProp725.xml><?xml version="1.0" encoding="utf-8"?>
<formControlPr xmlns="http://schemas.microsoft.com/office/spreadsheetml/2009/9/main" objectType="Spin" dx="15" fmlaLink="NeoBerIV!$F$26" max="30000" page="10" val="0"/>
</file>

<file path=xl/ctrlProps/ctrlProp726.xml><?xml version="1.0" encoding="utf-8"?>
<formControlPr xmlns="http://schemas.microsoft.com/office/spreadsheetml/2009/9/main" objectType="Spin" dx="15" fmlaLink="NeoBerIV!$F$27" max="30000" page="10" val="0"/>
</file>

<file path=xl/ctrlProps/ctrlProp727.xml><?xml version="1.0" encoding="utf-8"?>
<formControlPr xmlns="http://schemas.microsoft.com/office/spreadsheetml/2009/9/main" objectType="Spin" dx="15" fmlaLink="NeoBerIV!$F$28" max="30000" page="10" val="0"/>
</file>

<file path=xl/ctrlProps/ctrlProp728.xml><?xml version="1.0" encoding="utf-8"?>
<formControlPr xmlns="http://schemas.microsoft.com/office/spreadsheetml/2009/9/main" objectType="Drop" dropStyle="combo" dx="16" fmlaLink="NeoBerIV!$F$35" fmlaRange="tbl_Neo_IntralipidSmof" sel="1" val="0"/>
</file>

<file path=xl/ctrlProps/ctrlProp729.xml><?xml version="1.0" encoding="utf-8"?>
<formControlPr xmlns="http://schemas.microsoft.com/office/spreadsheetml/2009/9/main" objectType="Drop" dropStyle="combo" dx="16" fmlaLink="NeoBer1700!$B$20" fmlaRange="tbl_Neo_MedIV" sel="1" val="0"/>
</file>

<file path=xl/ctrlProps/ctrlProp730.xml><?xml version="1.0" encoding="utf-8"?>
<formControlPr xmlns="http://schemas.microsoft.com/office/spreadsheetml/2009/9/main" objectType="Drop" dropStyle="combo" dx="16" fmlaLink="NeoBer1700!$B$21" fmlaRange="tbl_Neo_MedIV" sel="1" val="0"/>
</file>

<file path=xl/ctrlProps/ctrlProp731.xml><?xml version="1.0" encoding="utf-8"?>
<formControlPr xmlns="http://schemas.microsoft.com/office/spreadsheetml/2009/9/main" objectType="Drop" dropStyle="combo" dx="16" fmlaLink="NeoBer1700!$B$22" fmlaRange="tbl_Neo_MedIV" sel="1" val="0"/>
</file>

<file path=xl/ctrlProps/ctrlProp732.xml><?xml version="1.0" encoding="utf-8"?>
<formControlPr xmlns="http://schemas.microsoft.com/office/spreadsheetml/2009/9/main" objectType="Drop" dropStyle="combo" dx="16" fmlaLink="NeoBer1700!$B$23" fmlaRange="tbl_Neo_MedIV" sel="1" val="0"/>
</file>

<file path=xl/ctrlProps/ctrlProp733.xml><?xml version="1.0" encoding="utf-8"?>
<formControlPr xmlns="http://schemas.microsoft.com/office/spreadsheetml/2009/9/main" objectType="Drop" dropStyle="combo" dx="16" fmlaLink="NeoBer1700!$B$24" fmlaRange="tbl_Neo_MedIV" sel="1" val="0"/>
</file>

<file path=xl/ctrlProps/ctrlProp734.xml><?xml version="1.0" encoding="utf-8"?>
<formControlPr xmlns="http://schemas.microsoft.com/office/spreadsheetml/2009/9/main" objectType="Drop" dropStyle="combo" dx="16" fmlaLink="NeoBer1700!$B$25" fmlaRange="tbl_Neo_MedIV" sel="1" val="0"/>
</file>

<file path=xl/ctrlProps/ctrlProp735.xml><?xml version="1.0" encoding="utf-8"?>
<formControlPr xmlns="http://schemas.microsoft.com/office/spreadsheetml/2009/9/main" objectType="Drop" dropStyle="combo" dx="16" fmlaLink="NeoBer1700!$B$26" fmlaRange="tbl_Neo_MedIV" sel="1" val="0"/>
</file>

<file path=xl/ctrlProps/ctrlProp736.xml><?xml version="1.0" encoding="utf-8"?>
<formControlPr xmlns="http://schemas.microsoft.com/office/spreadsheetml/2009/9/main" objectType="Spin" dx="15" fmlaLink="NeoBer1700!$B$18" inc="5" max="10" page="10" val="0"/>
</file>

<file path=xl/ctrlProps/ctrlProp737.xml><?xml version="1.0" encoding="utf-8"?>
<formControlPr xmlns="http://schemas.microsoft.com/office/spreadsheetml/2009/9/main" objectType="Spin" dx="15" fmlaLink="NeoBer1700!$F$20" max="30000" page="10" val="0"/>
</file>

<file path=xl/ctrlProps/ctrlProp738.xml><?xml version="1.0" encoding="utf-8"?>
<formControlPr xmlns="http://schemas.microsoft.com/office/spreadsheetml/2009/9/main" objectType="Spin" dx="15" fmlaLink="NeoBer1700!$F$21" max="30000" page="10" val="0"/>
</file>

<file path=xl/ctrlProps/ctrlProp739.xml><?xml version="1.0" encoding="utf-8"?>
<formControlPr xmlns="http://schemas.microsoft.com/office/spreadsheetml/2009/9/main" objectType="Spin" dx="15" fmlaLink="NeoBer1700!$F$22" max="30000" page="10" val="0"/>
</file>

<file path=xl/ctrlProps/ctrlProp740.xml><?xml version="1.0" encoding="utf-8"?>
<formControlPr xmlns="http://schemas.microsoft.com/office/spreadsheetml/2009/9/main" objectType="Spin" dx="15" fmlaLink="NeoBer1700!$F$23" max="30000" page="10" val="0"/>
</file>

<file path=xl/ctrlProps/ctrlProp741.xml><?xml version="1.0" encoding="utf-8"?>
<formControlPr xmlns="http://schemas.microsoft.com/office/spreadsheetml/2009/9/main" objectType="Spin" dx="15" fmlaLink="NeoBer1700!$F$24" max="30000" page="10" val="0"/>
</file>

<file path=xl/ctrlProps/ctrlProp742.xml><?xml version="1.0" encoding="utf-8"?>
<formControlPr xmlns="http://schemas.microsoft.com/office/spreadsheetml/2009/9/main" objectType="Spin" dx="15" fmlaLink="NeoBer1700!$F$25" max="30000" page="10" val="0"/>
</file>

<file path=xl/ctrlProps/ctrlProp743.xml><?xml version="1.0" encoding="utf-8"?>
<formControlPr xmlns="http://schemas.microsoft.com/office/spreadsheetml/2009/9/main" objectType="Spin" dx="15" fmlaLink="NeoBer1700!$F$26" max="30000" page="10" val="0"/>
</file>

<file path=xl/ctrlProps/ctrlProp744.xml><?xml version="1.0" encoding="utf-8"?>
<formControlPr xmlns="http://schemas.microsoft.com/office/spreadsheetml/2009/9/main" objectType="Radio" checked="Checked" firstButton="1" fmlaLink="NeoBer1700!$J$14" lockText="1"/>
</file>

<file path=xl/ctrlProps/ctrlProp745.xml><?xml version="1.0" encoding="utf-8"?>
<formControlPr xmlns="http://schemas.microsoft.com/office/spreadsheetml/2009/9/main" objectType="Radio" lockText="1"/>
</file>

<file path=xl/ctrlProps/ctrlProp746.xml><?xml version="1.0" encoding="utf-8"?>
<formControlPr xmlns="http://schemas.microsoft.com/office/spreadsheetml/2009/9/main" objectType="Spin" dx="15" fmlaLink="NeoBer1700!$D$10" max="24" page="10" val="0"/>
</file>

<file path=xl/ctrlProps/ctrlProp747.xml><?xml version="1.0" encoding="utf-8"?>
<formControlPr xmlns="http://schemas.microsoft.com/office/spreadsheetml/2009/9/main" objectType="Spin" dx="15" fmlaLink="NeoBer1700!$D$11" inc="5" max="30000" page="10" val="0"/>
</file>

<file path=xl/ctrlProps/ctrlProp748.xml><?xml version="1.0" encoding="utf-8"?>
<formControlPr xmlns="http://schemas.microsoft.com/office/spreadsheetml/2009/9/main" objectType="Spin" dx="15" fmlaLink="NeoBer1700!$D$16" inc="5" max="30000" page="10" val="5000"/>
</file>

<file path=xl/ctrlProps/ctrlProp749.xml><?xml version="1.0" encoding="utf-8"?>
<formControlPr xmlns="http://schemas.microsoft.com/office/spreadsheetml/2009/9/main" objectType="Radio" checked="Checked" firstButton="1" fmlaLink="NeoBer1700!$D$36" lockText="1"/>
</file>

<file path=xl/ctrlProps/ctrlProp750.xml><?xml version="1.0" encoding="utf-8"?>
<formControlPr xmlns="http://schemas.microsoft.com/office/spreadsheetml/2009/9/main" objectType="Radio" lockText="1"/>
</file>

<file path=xl/ctrlProps/ctrlProp751.xml><?xml version="1.0" encoding="utf-8"?>
<formControlPr xmlns="http://schemas.microsoft.com/office/spreadsheetml/2009/9/main" objectType="Radio" lockText="1"/>
</file>

<file path=xl/ctrlProps/ctrlProp752.xml><?xml version="1.0" encoding="utf-8"?>
<formControlPr xmlns="http://schemas.microsoft.com/office/spreadsheetml/2009/9/main" objectType="Spin" dx="15" fmlaLink="NeoBer1700!$D$37" inc="10" max="30000" page="10" val="5000"/>
</file>

<file path=xl/ctrlProps/ctrlProp753.xml><?xml version="1.0" encoding="utf-8"?>
<formControlPr xmlns="http://schemas.microsoft.com/office/spreadsheetml/2009/9/main" objectType="Spin" dx="15" fmlaLink="NeoBer1700!$D$38" inc="10" max="30000" page="10" val="5000"/>
</file>

<file path=xl/ctrlProps/ctrlProp754.xml><?xml version="1.0" encoding="utf-8"?>
<formControlPr xmlns="http://schemas.microsoft.com/office/spreadsheetml/2009/9/main" objectType="Spin" dx="15" fmlaLink="NeoBer1700!$D$39" inc="10" max="30000" page="10" val="5000"/>
</file>

<file path=xl/ctrlProps/ctrlProp755.xml><?xml version="1.0" encoding="utf-8"?>
<formControlPr xmlns="http://schemas.microsoft.com/office/spreadsheetml/2009/9/main" objectType="Spin" dx="15" fmlaLink="NeoBer1700!$D$40" max="30000" page="10" val="5000"/>
</file>

<file path=xl/ctrlProps/ctrlProp756.xml><?xml version="1.0" encoding="utf-8"?>
<formControlPr xmlns="http://schemas.microsoft.com/office/spreadsheetml/2009/9/main" objectType="Spin" dx="15" fmlaLink="NeoBer1700!$D$41" max="30000" page="10" val="5000"/>
</file>

<file path=xl/ctrlProps/ctrlProp757.xml><?xml version="1.0" encoding="utf-8"?>
<formControlPr xmlns="http://schemas.microsoft.com/office/spreadsheetml/2009/9/main" objectType="Spin" dx="15" fmlaLink="NeoBer1700!$D$42" max="30000" page="10" val="5000"/>
</file>

<file path=xl/ctrlProps/ctrlProp758.xml><?xml version="1.0" encoding="utf-8"?>
<formControlPr xmlns="http://schemas.microsoft.com/office/spreadsheetml/2009/9/main" objectType="Spin" dx="15" fmlaLink="NeoBer1700!$D$43" max="30000" page="10" val="5000"/>
</file>

<file path=xl/ctrlProps/ctrlProp759.xml><?xml version="1.0" encoding="utf-8"?>
<formControlPr xmlns="http://schemas.microsoft.com/office/spreadsheetml/2009/9/main" objectType="Spin" dx="15" fmlaLink="NeoBer1700!$D$37" max="30000" page="10" val="5000"/>
</file>

<file path=xl/ctrlProps/ctrlProp760.xml><?xml version="1.0" encoding="utf-8"?>
<formControlPr xmlns="http://schemas.microsoft.com/office/spreadsheetml/2009/9/main" objectType="Spin" dx="15" fmlaLink="NeoBer1700!$D$38" max="30000" page="10" val="5000"/>
</file>

<file path=xl/ctrlProps/ctrlProp761.xml><?xml version="1.0" encoding="utf-8"?>
<formControlPr xmlns="http://schemas.microsoft.com/office/spreadsheetml/2009/9/main" objectType="Spin" dx="15" fmlaLink="NeoBer1700!$D$44" max="30000" page="10" val="5000"/>
</file>

<file path=xl/ctrlProps/ctrlProp762.xml><?xml version="1.0" encoding="utf-8"?>
<formControlPr xmlns="http://schemas.microsoft.com/office/spreadsheetml/2009/9/main" objectType="Radio" firstButton="1" fmlaLink="NeoBer1700!$B$15" lockText="1"/>
</file>

<file path=xl/ctrlProps/ctrlProp763.xml><?xml version="1.0" encoding="utf-8"?>
<formControlPr xmlns="http://schemas.microsoft.com/office/spreadsheetml/2009/9/main" objectType="Radio" checked="Checked" lockText="1"/>
</file>

<file path=xl/ctrlProps/ctrlProp764.xml><?xml version="1.0" encoding="utf-8"?>
<formControlPr xmlns="http://schemas.microsoft.com/office/spreadsheetml/2009/9/main" objectType="Drop" dropStyle="combo" dx="16" fmlaLink="NeoBer1700!$E$20" fmlaRange="tbl_Neo_Opl" sel="1" val="2"/>
</file>

<file path=xl/ctrlProps/ctrlProp765.xml><?xml version="1.0" encoding="utf-8"?>
<formControlPr xmlns="http://schemas.microsoft.com/office/spreadsheetml/2009/9/main" objectType="Drop" dropStyle="combo" dx="16" fmlaLink="NeoBer1700!$E$21" fmlaRange="tbl_Neo_Opl" sel="1" val="0"/>
</file>

<file path=xl/ctrlProps/ctrlProp766.xml><?xml version="1.0" encoding="utf-8"?>
<formControlPr xmlns="http://schemas.microsoft.com/office/spreadsheetml/2009/9/main" objectType="Drop" dropStyle="combo" dx="16" fmlaLink="NeoBer1700!$E$22" fmlaRange="tbl_Neo_Opl" sel="1" val="0"/>
</file>

<file path=xl/ctrlProps/ctrlProp767.xml><?xml version="1.0" encoding="utf-8"?>
<formControlPr xmlns="http://schemas.microsoft.com/office/spreadsheetml/2009/9/main" objectType="Drop" dropStyle="combo" dx="16" fmlaLink="NeoBer1700!$E$23" fmlaRange="tbl_Neo_Opl" sel="1" val="0"/>
</file>

<file path=xl/ctrlProps/ctrlProp768.xml><?xml version="1.0" encoding="utf-8"?>
<formControlPr xmlns="http://schemas.microsoft.com/office/spreadsheetml/2009/9/main" objectType="Drop" dropStyle="combo" dx="16" fmlaLink="NeoBer1700!$E$24" fmlaRange="tbl_Neo_Opl" sel="1" val="0"/>
</file>

<file path=xl/ctrlProps/ctrlProp769.xml><?xml version="1.0" encoding="utf-8"?>
<formControlPr xmlns="http://schemas.microsoft.com/office/spreadsheetml/2009/9/main" objectType="Drop" dropStyle="combo" dx="16" fmlaLink="NeoBer1700!$E$25" fmlaRange="tbl_Neo_Opl" sel="1" val="0"/>
</file>

<file path=xl/ctrlProps/ctrlProp770.xml><?xml version="1.0" encoding="utf-8"?>
<formControlPr xmlns="http://schemas.microsoft.com/office/spreadsheetml/2009/9/main" objectType="Spin" dx="15" fmlaLink="NeoBer1700!$D$20" max="30000" page="10" val="0"/>
</file>

<file path=xl/ctrlProps/ctrlProp771.xml><?xml version="1.0" encoding="utf-8"?>
<formControlPr xmlns="http://schemas.microsoft.com/office/spreadsheetml/2009/9/main" objectType="Spin" dx="15" fmlaLink="NeoBer1700!$D$21" max="30000" page="10" val="0"/>
</file>

<file path=xl/ctrlProps/ctrlProp772.xml><?xml version="1.0" encoding="utf-8"?>
<formControlPr xmlns="http://schemas.microsoft.com/office/spreadsheetml/2009/9/main" objectType="Spin" dx="15" fmlaLink="NeoBer1700!$D$22" max="30000" page="10" val="0"/>
</file>

<file path=xl/ctrlProps/ctrlProp773.xml><?xml version="1.0" encoding="utf-8"?>
<formControlPr xmlns="http://schemas.microsoft.com/office/spreadsheetml/2009/9/main" objectType="Spin" dx="15" fmlaLink="NeoBer1700!$D$23" max="30000" page="10" val="0"/>
</file>

<file path=xl/ctrlProps/ctrlProp774.xml><?xml version="1.0" encoding="utf-8"?>
<formControlPr xmlns="http://schemas.microsoft.com/office/spreadsheetml/2009/9/main" objectType="Spin" dx="15" fmlaLink="NeoBer1700!$D$24" max="30000" page="10" val="0"/>
</file>

<file path=xl/ctrlProps/ctrlProp775.xml><?xml version="1.0" encoding="utf-8"?>
<formControlPr xmlns="http://schemas.microsoft.com/office/spreadsheetml/2009/9/main" objectType="Spin" dx="15" fmlaLink="NeoBer1700!$D$25" max="30000" page="10" val="0"/>
</file>

<file path=xl/ctrlProps/ctrlProp776.xml><?xml version="1.0" encoding="utf-8"?>
<formControlPr xmlns="http://schemas.microsoft.com/office/spreadsheetml/2009/9/main" objectType="Spin" dx="15" fmlaLink="NeoBer1700!$D$26" max="30000" page="10" val="0"/>
</file>

<file path=xl/ctrlProps/ctrlProp777.xml><?xml version="1.0" encoding="utf-8"?>
<formControlPr xmlns="http://schemas.microsoft.com/office/spreadsheetml/2009/9/main" objectType="Spin" dx="15" fmlaLink="NeoBer1700!$C$20" inc="10" max="30000" page="10" val="0"/>
</file>

<file path=xl/ctrlProps/ctrlProp778.xml><?xml version="1.0" encoding="utf-8"?>
<formControlPr xmlns="http://schemas.microsoft.com/office/spreadsheetml/2009/9/main" objectType="Spin" dx="15" fmlaLink="NeoBer1700!$C$21" inc="10" max="30000" page="10" val="0"/>
</file>

<file path=xl/ctrlProps/ctrlProp779.xml><?xml version="1.0" encoding="utf-8"?>
<formControlPr xmlns="http://schemas.microsoft.com/office/spreadsheetml/2009/9/main" objectType="Spin" dx="15" fmlaLink="NeoBer1700!$C$22" inc="10" max="30000" page="10" val="0"/>
</file>

<file path=xl/ctrlProps/ctrlProp780.xml><?xml version="1.0" encoding="utf-8"?>
<formControlPr xmlns="http://schemas.microsoft.com/office/spreadsheetml/2009/9/main" objectType="Spin" dx="15" fmlaLink="NeoBer1700!$C$23" inc="10" max="30000" page="10" val="0"/>
</file>

<file path=xl/ctrlProps/ctrlProp781.xml><?xml version="1.0" encoding="utf-8"?>
<formControlPr xmlns="http://schemas.microsoft.com/office/spreadsheetml/2009/9/main" objectType="Spin" dx="15" fmlaLink="NeoBer1700!$C$24" inc="10" max="30000" page="10" val="0"/>
</file>

<file path=xl/ctrlProps/ctrlProp782.xml><?xml version="1.0" encoding="utf-8"?>
<formControlPr xmlns="http://schemas.microsoft.com/office/spreadsheetml/2009/9/main" objectType="Spin" dx="15" fmlaLink="NeoBer1700!$C$25" inc="10" max="30000" page="10" val="0"/>
</file>

<file path=xl/ctrlProps/ctrlProp783.xml><?xml version="1.0" encoding="utf-8"?>
<formControlPr xmlns="http://schemas.microsoft.com/office/spreadsheetml/2009/9/main" objectType="Spin" dx="15" fmlaLink="NeoBer1700!$C$26" inc="10" max="30000" page="10" val="0"/>
</file>

<file path=xl/ctrlProps/ctrlProp784.xml><?xml version="1.0" encoding="utf-8"?>
<formControlPr xmlns="http://schemas.microsoft.com/office/spreadsheetml/2009/9/main" objectType="GBox"/>
</file>

<file path=xl/ctrlProps/ctrlProp785.xml><?xml version="1.0" encoding="utf-8"?>
<formControlPr xmlns="http://schemas.microsoft.com/office/spreadsheetml/2009/9/main" objectType="GBox" noThreeD="1"/>
</file>

<file path=xl/ctrlProps/ctrlProp786.xml><?xml version="1.0" encoding="utf-8"?>
<formControlPr xmlns="http://schemas.microsoft.com/office/spreadsheetml/2009/9/main" objectType="CheckBox" fmlaLink="NeoBer1700!$J$18" lockText="1"/>
</file>

<file path=xl/ctrlProps/ctrlProp787.xml><?xml version="1.0" encoding="utf-8"?>
<formControlPr xmlns="http://schemas.microsoft.com/office/spreadsheetml/2009/9/main" objectType="CheckBox" fmlaLink="NeoBer1700!$J$20" lockText="1"/>
</file>

<file path=xl/ctrlProps/ctrlProp788.xml><?xml version="1.0" encoding="utf-8"?>
<formControlPr xmlns="http://schemas.microsoft.com/office/spreadsheetml/2009/9/main" objectType="CheckBox" fmlaLink="NeoBer1700!$J$21" lockText="1"/>
</file>

<file path=xl/ctrlProps/ctrlProp789.xml><?xml version="1.0" encoding="utf-8"?>
<formControlPr xmlns="http://schemas.microsoft.com/office/spreadsheetml/2009/9/main" objectType="CheckBox" fmlaLink="NeoBer1700!$J$22" lockText="1"/>
</file>

<file path=xl/ctrlProps/ctrlProp790.xml><?xml version="1.0" encoding="utf-8"?>
<formControlPr xmlns="http://schemas.microsoft.com/office/spreadsheetml/2009/9/main" objectType="CheckBox" fmlaLink="NeoBer1700!$J$23" lockText="1"/>
</file>

<file path=xl/ctrlProps/ctrlProp791.xml><?xml version="1.0" encoding="utf-8"?>
<formControlPr xmlns="http://schemas.microsoft.com/office/spreadsheetml/2009/9/main" objectType="CheckBox" fmlaLink="NeoBer1700!$J$24" lockText="1"/>
</file>

<file path=xl/ctrlProps/ctrlProp792.xml><?xml version="1.0" encoding="utf-8"?>
<formControlPr xmlns="http://schemas.microsoft.com/office/spreadsheetml/2009/9/main" objectType="CheckBox" fmlaLink="NeoBer1700!$J$25" lockText="1"/>
</file>

<file path=xl/ctrlProps/ctrlProp793.xml><?xml version="1.0" encoding="utf-8"?>
<formControlPr xmlns="http://schemas.microsoft.com/office/spreadsheetml/2009/9/main" objectType="CheckBox" lockText="1"/>
</file>

<file path=xl/ctrlProps/ctrlProp794.xml><?xml version="1.0" encoding="utf-8"?>
<formControlPr xmlns="http://schemas.microsoft.com/office/spreadsheetml/2009/9/main" objectType="Drop" dropStyle="combo" dx="16" fmlaLink="NeoBer1700!$B$27" fmlaRange="tbl_Neo_MedIV" sel="1" val="2"/>
</file>

<file path=xl/ctrlProps/ctrlProp795.xml><?xml version="1.0" encoding="utf-8"?>
<formControlPr xmlns="http://schemas.microsoft.com/office/spreadsheetml/2009/9/main" objectType="Spin" dx="15" fmlaLink="NeoBer1700!$F$27" max="30000" page="10" val="0"/>
</file>

<file path=xl/ctrlProps/ctrlProp796.xml><?xml version="1.0" encoding="utf-8"?>
<formControlPr xmlns="http://schemas.microsoft.com/office/spreadsheetml/2009/9/main" objectType="Drop" dropStyle="combo" dx="16" fmlaLink="NeoBer1700!$E$26" fmlaRange="tbl_Neo_Opl" sel="1" val="0"/>
</file>

<file path=xl/ctrlProps/ctrlProp797.xml><?xml version="1.0" encoding="utf-8"?>
<formControlPr xmlns="http://schemas.microsoft.com/office/spreadsheetml/2009/9/main" objectType="Spin" dx="15" fmlaLink="NeoBer1700!$D$27" max="30000" page="10" val="0"/>
</file>

<file path=xl/ctrlProps/ctrlProp798.xml><?xml version="1.0" encoding="utf-8"?>
<formControlPr xmlns="http://schemas.microsoft.com/office/spreadsheetml/2009/9/main" objectType="Spin" dx="15" fmlaLink="NeoBer1700!$C$27" inc="10" max="30000" page="10" val="0"/>
</file>

<file path=xl/ctrlProps/ctrlProp799.xml><?xml version="1.0" encoding="utf-8"?>
<formControlPr xmlns="http://schemas.microsoft.com/office/spreadsheetml/2009/9/main" objectType="CheckBox" fmlaLink="NeoBer1700!$J$26" lockText="1"/>
</file>

<file path=xl/ctrlProps/ctrlProp800.xml><?xml version="1.0" encoding="utf-8"?>
<formControlPr xmlns="http://schemas.microsoft.com/office/spreadsheetml/2009/9/main" objectType="CheckBox" lockText="1"/>
</file>

<file path=xl/ctrlProps/ctrlProp801.xml><?xml version="1.0" encoding="utf-8"?>
<formControlPr xmlns="http://schemas.microsoft.com/office/spreadsheetml/2009/9/main" objectType="Spin" dx="15" fmlaLink="NeoBer1700!$F$28" max="30000" page="10" val="0"/>
</file>

<file path=xl/ctrlProps/ctrlProp802.xml><?xml version="1.0" encoding="utf-8"?>
<formControlPr xmlns="http://schemas.microsoft.com/office/spreadsheetml/2009/9/main" objectType="Drop" dropStyle="combo" dx="16" fmlaLink="NeoBer1700!$E$27" fmlaRange="tbl_Neo_Opl" sel="1" val="0"/>
</file>

<file path=xl/ctrlProps/ctrlProp803.xml><?xml version="1.0" encoding="utf-8"?>
<formControlPr xmlns="http://schemas.microsoft.com/office/spreadsheetml/2009/9/main" objectType="Drop" dropStyle="combo" dx="16" fmlaLink="NeoBer1700!$E$28" fmlaRange="tbl_Neo_Opl" sel="1" val="0"/>
</file>

<file path=xl/ctrlProps/ctrlProp804.xml><?xml version="1.0" encoding="utf-8"?>
<formControlPr xmlns="http://schemas.microsoft.com/office/spreadsheetml/2009/9/main" objectType="CheckBox" fmlaLink="NeoBer1700!$J$27" lockText="1"/>
</file>

<file path=xl/ctrlProps/ctrlProp805.xml><?xml version="1.0" encoding="utf-8"?>
<formControlPr xmlns="http://schemas.microsoft.com/office/spreadsheetml/2009/9/main" objectType="CheckBox" fmlaLink="NeoBer1700!$J$28" lockText="1"/>
</file>

<file path=xl/ctrlProps/ctrlProp806.xml><?xml version="1.0" encoding="utf-8"?>
<formControlPr xmlns="http://schemas.microsoft.com/office/spreadsheetml/2009/9/main" objectType="Spin" dx="15" fmlaLink="NeoBer1700!$D$35" max="30000" page="10" val="5000"/>
</file>

<file path=xl/ctrlProps/ctrlProp807.xml><?xml version="1.0" encoding="utf-8"?>
<formControlPr xmlns="http://schemas.microsoft.com/office/spreadsheetml/2009/9/main" objectType="Drop" dropStyle="combo" dx="16" fmlaLink="NeoBer1700!$D$45" fmlaRange="NeoTblLijst!$A$4:$A$13" sel="2" val="0"/>
</file>

<file path=xl/ctrlProps/ctrlProp808.xml><?xml version="1.0" encoding="utf-8"?>
<formControlPr xmlns="http://schemas.microsoft.com/office/spreadsheetml/2009/9/main" objectType="Spin" dx="15" fmlaLink="NeoBerIV!$D$4" max="43" min="24" page="10" val="30"/>
</file>

<file path=xl/ctrlProps/ctrlProp809.xml><?xml version="1.0" encoding="utf-8"?>
<formControlPr xmlns="http://schemas.microsoft.com/office/spreadsheetml/2009/9/main" objectType="Spin" dx="15" fmlaLink="NeoBerIV!$D$5" max="6" page="10" val="0"/>
</file>

<file path=xl/ctrlProps/ctrlProp810.xml><?xml version="1.0" encoding="utf-8"?>
<formControlPr xmlns="http://schemas.microsoft.com/office/spreadsheetml/2009/9/main" objectType="Drop" dropStyle="combo" dx="16" fmlaLink="NeoBer1700!$B$54" fmlaRange="tbl_Neo_NutrMMToev" sel="1" val="0"/>
</file>

<file path=xl/ctrlProps/ctrlProp811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12.xml><?xml version="1.0" encoding="utf-8"?>
<formControlPr xmlns="http://schemas.microsoft.com/office/spreadsheetml/2009/9/main" objectType="Drop" dropStyle="combo" dx="16" fmlaLink="NeoBer1700!$D$14" fmlaRange="tbl_Neo_Pos" sel="1" val="0"/>
</file>

<file path=xl/ctrlProps/ctrlProp813.xml><?xml version="1.0" encoding="utf-8"?>
<formControlPr xmlns="http://schemas.microsoft.com/office/spreadsheetml/2009/9/main" objectType="Spin" dx="15" fmlaLink="NeoBer1700!$D$12" max="24" page="10" val="0"/>
</file>

<file path=xl/ctrlProps/ctrlProp814.xml><?xml version="1.0" encoding="utf-8"?>
<formControlPr xmlns="http://schemas.microsoft.com/office/spreadsheetml/2009/9/main" objectType="Spin" dx="15" fmlaLink="NeoBer1700!$D$13" inc="5" max="30000" page="10" val="0"/>
</file>

<file path=xl/ctrlProps/ctrlProp815.xml><?xml version="1.0" encoding="utf-8"?>
<formControlPr xmlns="http://schemas.microsoft.com/office/spreadsheetml/2009/9/main" objectType="Drop" dropStyle="combo" dx="16" fmlaLink="NeoBer1700!$B$55" fmlaRange="tbl_Neo_NutrMMToev" sel="1" val="0"/>
</file>

<file path=xl/ctrlProps/ctrlProp816.xml><?xml version="1.0" encoding="utf-8"?>
<formControlPr xmlns="http://schemas.microsoft.com/office/spreadsheetml/2009/9/main" objectType="Drop" dropStyle="combo" dx="16" fmlaLink="NeoBer1700!$B$56" fmlaRange="tbl_Neo_NutrMMToev" sel="1" val="0"/>
</file>

<file path=xl/ctrlProps/ctrlProp817.xml><?xml version="1.0" encoding="utf-8"?>
<formControlPr xmlns="http://schemas.microsoft.com/office/spreadsheetml/2009/9/main" objectType="Drop" dropStyle="combo" dx="16" fmlaLink="NeoBer1700!$B$28" fmlaRange="tbl_Neo_MedIV" sel="1" val="2"/>
</file>

<file path=xl/ctrlProps/ctrlProp818.xml><?xml version="1.0" encoding="utf-8"?>
<formControlPr xmlns="http://schemas.microsoft.com/office/spreadsheetml/2009/9/main" objectType="Spin" dx="15" fmlaLink="NeoBer1700!$D$28" max="30000" page="10" val="0"/>
</file>

<file path=xl/ctrlProps/ctrlProp819.xml><?xml version="1.0" encoding="utf-8"?>
<formControlPr xmlns="http://schemas.microsoft.com/office/spreadsheetml/2009/9/main" objectType="Spin" dx="15" fmlaLink="NeoBer1700!$C$28" inc="10" max="30000" page="10" val="0"/>
</file>

<file path=xl/ctrlProps/ctrlProp820.xml><?xml version="1.0" encoding="utf-8"?>
<formControlPr xmlns="http://schemas.microsoft.com/office/spreadsheetml/2009/9/main" objectType="Drop" dropStyle="combo" dx="16" fmlaLink="NeoBer1700!$E$28" fmlaRange="tbl_Neo_Opl" sel="1" val="2"/>
</file>

<file path=xl/ctrlProps/ctrlProp821.xml><?xml version="1.0" encoding="utf-8"?>
<formControlPr xmlns="http://schemas.microsoft.com/office/spreadsheetml/2009/9/main" objectType="Drop" dropStyle="combo" dx="16" fmlaLink="NeoBer1700!$E$29" fmlaRange="tbl_Neo_Opl" sel="1" val="0"/>
</file>

<file path=xl/ctrlProps/ctrlProp822.xml><?xml version="1.0" encoding="utf-8"?>
<formControlPr xmlns="http://schemas.microsoft.com/office/spreadsheetml/2009/9/main" objectType="Spin" dx="15" fmlaLink="NeoBer1700!$F$29" max="30000" page="10" val="0"/>
</file>

<file path=xl/ctrlProps/ctrlProp823.xml><?xml version="1.0" encoding="utf-8"?>
<formControlPr xmlns="http://schemas.microsoft.com/office/spreadsheetml/2009/9/main" objectType="CheckBox" fmlaLink="NeoBer1700!$J$29" lockText="1"/>
</file>

<file path=xl/ctrlProps/ctrlProp824.xml><?xml version="1.0" encoding="utf-8"?>
<formControlPr xmlns="http://schemas.microsoft.com/office/spreadsheetml/2009/9/main" objectType="Drop" dropStyle="combo" dx="16" fmlaLink="NeoBer1700!$E$30" fmlaRange="tbl_Neo_Opl" sel="1" val="0"/>
</file>

<file path=xl/ctrlProps/ctrlProp825.xml><?xml version="1.0" encoding="utf-8"?>
<formControlPr xmlns="http://schemas.microsoft.com/office/spreadsheetml/2009/9/main" objectType="Spin" dx="15" fmlaLink="NeoBer1700!$F$30" max="30000" page="10" val="0"/>
</file>

<file path=xl/ctrlProps/ctrlProp826.xml><?xml version="1.0" encoding="utf-8"?>
<formControlPr xmlns="http://schemas.microsoft.com/office/spreadsheetml/2009/9/main" objectType="CheckBox" fmlaLink="NeoBer1700!$J$30" lockText="1"/>
</file>

<file path=xl/ctrlProps/ctrlProp827.xml><?xml version="1.0" encoding="utf-8"?>
<formControlPr xmlns="http://schemas.microsoft.com/office/spreadsheetml/2009/9/main" objectType="CheckBox" fmlaLink="NeoBer1700!$J$30" lockText="1"/>
</file>

<file path=xl/ctrlProps/ctrlProp828.xml><?xml version="1.0" encoding="utf-8"?>
<formControlPr xmlns="http://schemas.microsoft.com/office/spreadsheetml/2009/9/main" objectType="Drop" dropStyle="combo" dx="16" fmlaLink="NeoBer1700!$E$31" fmlaRange="tbl_Neo_Opl" sel="1" val="0"/>
</file>

<file path=xl/ctrlProps/ctrlProp829.xml><?xml version="1.0" encoding="utf-8"?>
<formControlPr xmlns="http://schemas.microsoft.com/office/spreadsheetml/2009/9/main" objectType="Spin" dx="15" fmlaLink="NeoBer1700!$F$31" max="30000" page="10" val="0"/>
</file>

<file path=xl/ctrlProps/ctrlProp830.xml><?xml version="1.0" encoding="utf-8"?>
<formControlPr xmlns="http://schemas.microsoft.com/office/spreadsheetml/2009/9/main" objectType="CheckBox" fmlaLink="NeoBer1700!$J$31" lockText="1"/>
</file>

<file path=xl/ctrlProps/ctrlProp831.xml><?xml version="1.0" encoding="utf-8"?>
<formControlPr xmlns="http://schemas.microsoft.com/office/spreadsheetml/2009/9/main" objectType="Drop" dropStyle="combo" dx="16" fmlaLink="NeoBer1700!$B$59" fmlaRange="tbl_Neo_NutrKunstToev" sel="1" val="0"/>
</file>

<file path=xl/ctrlProps/ctrlProp832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33.xml><?xml version="1.0" encoding="utf-8"?>
<formControlPr xmlns="http://schemas.microsoft.com/office/spreadsheetml/2009/9/main" objectType="Drop" dropStyle="combo" dx="16" fmlaLink="NeoBer1700!$B$60" fmlaRange="tbl_Neo_NutrKunstToev" sel="1" val="0"/>
</file>

<file path=xl/ctrlProps/ctrlProp834.xml><?xml version="1.0" encoding="utf-8"?>
<formControlPr xmlns="http://schemas.microsoft.com/office/spreadsheetml/2009/9/main" objectType="Drop" dropStyle="combo" dx="16" fmlaLink="NeoBer1700!$B$61" fmlaRange="tbl_Neo_NutrKunstToev" sel="1" val="0"/>
</file>

<file path=xl/ctrlProps/ctrlProp835.xml><?xml version="1.0" encoding="utf-8"?>
<formControlPr xmlns="http://schemas.microsoft.com/office/spreadsheetml/2009/9/main" objectType="Drop" dropStyle="combo" dx="16" fmlaLink="NeoBer1700!$K$58" fmlaRange="tbl_Neo_NutrToevWaard" sel="0" val="0"/>
</file>

<file path=xl/ctrlProps/ctrlProp836.xml><?xml version="1.0" encoding="utf-8"?>
<formControlPr xmlns="http://schemas.microsoft.com/office/spreadsheetml/2009/9/main" objectType="Drop" dropStyle="combo" dx="16" fmlaLink="NeoBer1700!$J$59" fmlaRange="tbl_Neo_NutrToevWaard" sel="1" val="3"/>
</file>

<file path=xl/ctrlProps/ctrlProp837.xml><?xml version="1.0" encoding="utf-8"?>
<formControlPr xmlns="http://schemas.microsoft.com/office/spreadsheetml/2009/9/main" objectType="Drop" dropStyle="combo" dx="16" fmlaLink="NeoBer1700!$J$60" fmlaRange="tbl_Neo_NutrToevWaard" sel="1" val="0"/>
</file>

<file path=xl/ctrlProps/ctrlProp838.xml><?xml version="1.0" encoding="utf-8"?>
<formControlPr xmlns="http://schemas.microsoft.com/office/spreadsheetml/2009/9/main" objectType="Drop" dropStyle="combo" dx="16" fmlaLink="NeoBer1700!$J$61" fmlaRange="tbl_Neo_NutrToevWaard" sel="1" val="0"/>
</file>

<file path=xl/ctrlProps/ctrlProp839.xml><?xml version="1.0" encoding="utf-8"?>
<formControlPr xmlns="http://schemas.microsoft.com/office/spreadsheetml/2009/9/main" objectType="Drop" dropStyle="combo" dx="16" fmlaLink="NeoBer1700!$B$53" fmlaRange="tbl_Neo_NutrMMToev" sel="1" val="0"/>
</file>

<file path=xl/ctrlProps/ctrlProp840.xml><?xml version="1.0" encoding="utf-8"?>
<formControlPr xmlns="http://schemas.microsoft.com/office/spreadsheetml/2009/9/main" objectType="Drop" dropStyle="combo" dx="16" fmlaLink="NeoBer1700!$B$58" fmlaRange="tbl_Neo_NutrKunstToev" sel="1" val="0"/>
</file>

<file path=xl/ctrlProps/ctrlProp841.xml><?xml version="1.0" encoding="utf-8"?>
<formControlPr xmlns="http://schemas.microsoft.com/office/spreadsheetml/2009/9/main" objectType="Drop" dropStyle="combo" dx="16" fmlaLink="NeoBer1700!$J$58" fmlaRange="tbl_Neo_NutrToevWaard" sel="1" val="0"/>
</file>

<file path=xl/ctrlProps/ctrlProp842.xml><?xml version="1.0" encoding="utf-8"?>
<formControlPr xmlns="http://schemas.microsoft.com/office/spreadsheetml/2009/9/main" objectType="Drop" dropStyle="combo" dx="16" fmlaLink="NeoBer1700!$J$52" fmlaRange="tbl_Neo_NutrBMFWaard" sel="1" val="0"/>
</file>

<file path=xl/ctrlProps/ctrlProp843.xml><?xml version="1.0" encoding="utf-8"?>
<formControlPr xmlns="http://schemas.microsoft.com/office/spreadsheetml/2009/9/main" objectType="Drop" dropStyle="combo" dx="16" fmlaLink="NeoBer1700!$J$54" fmlaRange="tbl_Neo_NutrToevWaard" sel="1" val="0"/>
</file>

<file path=xl/ctrlProps/ctrlProp844.xml><?xml version="1.0" encoding="utf-8"?>
<formControlPr xmlns="http://schemas.microsoft.com/office/spreadsheetml/2009/9/main" objectType="Drop" dropStyle="combo" dx="16" fmlaLink="NeoBer1700!$J$55" fmlaRange="tbl_Neo_NutrToevWaard" sel="1" val="0"/>
</file>

<file path=xl/ctrlProps/ctrlProp845.xml><?xml version="1.0" encoding="utf-8"?>
<formControlPr xmlns="http://schemas.microsoft.com/office/spreadsheetml/2009/9/main" objectType="Drop" dropStyle="combo" dx="16" fmlaLink="NeoBer1700!$J$56" fmlaRange="tbl_Neo_NutrToevWaard" sel="1" val="0"/>
</file>

<file path=xl/ctrlProps/ctrlProp846.xml><?xml version="1.0" encoding="utf-8"?>
<formControlPr xmlns="http://schemas.microsoft.com/office/spreadsheetml/2009/9/main" objectType="Drop" dropStyle="combo" dx="16" fmlaLink="NeoBer1700!$J$53" fmlaRange="tbl_Neo_NutrToevWaard" sel="1" val="0"/>
</file>

<file path=xl/ctrlProps/ctrlProp847.xml><?xml version="1.0" encoding="utf-8"?>
<formControlPr xmlns="http://schemas.microsoft.com/office/spreadsheetml/2009/9/main" objectType="CheckBox" fmlaLink="NeoBer1700!$B$17" lockText="1" noThreeD="1"/>
</file>

<file path=xl/ctrlProps/ctrlProp848.xml><?xml version="1.0" encoding="utf-8"?>
<formControlPr xmlns="http://schemas.microsoft.com/office/spreadsheetml/2009/9/main" objectType="Spin" dx="15" fmlaLink="NeoBer1700!$F$21" max="30000" page="10" val="0"/>
</file>

<file path=xl/ctrlProps/ctrlProp849.xml><?xml version="1.0" encoding="utf-8"?>
<formControlPr xmlns="http://schemas.microsoft.com/office/spreadsheetml/2009/9/main" objectType="Spin" dx="15" fmlaLink="NeoBer1700!$F$21" max="30000" page="10" val="0"/>
</file>

<file path=xl/ctrlProps/ctrlProp850.xml><?xml version="1.0" encoding="utf-8"?>
<formControlPr xmlns="http://schemas.microsoft.com/office/spreadsheetml/2009/9/main" objectType="Spin" dx="15" fmlaLink="NeoBer1700!$F$22" max="30000" page="10" val="0"/>
</file>

<file path=xl/ctrlProps/ctrlProp851.xml><?xml version="1.0" encoding="utf-8"?>
<formControlPr xmlns="http://schemas.microsoft.com/office/spreadsheetml/2009/9/main" objectType="Spin" dx="15" fmlaLink="NeoBer1700!$F$21" max="30000" page="10" val="0"/>
</file>

<file path=xl/ctrlProps/ctrlProp852.xml><?xml version="1.0" encoding="utf-8"?>
<formControlPr xmlns="http://schemas.microsoft.com/office/spreadsheetml/2009/9/main" objectType="Spin" dx="15" fmlaLink="NeoBer1700!$F$23" max="30000" page="10" val="0"/>
</file>

<file path=xl/ctrlProps/ctrlProp853.xml><?xml version="1.0" encoding="utf-8"?>
<formControlPr xmlns="http://schemas.microsoft.com/office/spreadsheetml/2009/9/main" objectType="Spin" dx="15" fmlaLink="NeoBer1700!$F$21" max="30000" page="10" val="0"/>
</file>

<file path=xl/ctrlProps/ctrlProp854.xml><?xml version="1.0" encoding="utf-8"?>
<formControlPr xmlns="http://schemas.microsoft.com/office/spreadsheetml/2009/9/main" objectType="Spin" dx="15" fmlaLink="NeoBer1700!$F$24" max="30000" page="10" val="0"/>
</file>

<file path=xl/ctrlProps/ctrlProp855.xml><?xml version="1.0" encoding="utf-8"?>
<formControlPr xmlns="http://schemas.microsoft.com/office/spreadsheetml/2009/9/main" objectType="Spin" dx="15" fmlaLink="NeoBer1700!$F$21" max="30000" page="10" val="0"/>
</file>

<file path=xl/ctrlProps/ctrlProp856.xml><?xml version="1.0" encoding="utf-8"?>
<formControlPr xmlns="http://schemas.microsoft.com/office/spreadsheetml/2009/9/main" objectType="Spin" dx="15" fmlaLink="NeoBer1700!$F$25" max="30000" page="10" val="0"/>
</file>

<file path=xl/ctrlProps/ctrlProp857.xml><?xml version="1.0" encoding="utf-8"?>
<formControlPr xmlns="http://schemas.microsoft.com/office/spreadsheetml/2009/9/main" objectType="Spin" dx="15" fmlaLink="NeoBer1700!$F$21" max="30000" page="10" val="0"/>
</file>

<file path=xl/ctrlProps/ctrlProp858.xml><?xml version="1.0" encoding="utf-8"?>
<formControlPr xmlns="http://schemas.microsoft.com/office/spreadsheetml/2009/9/main" objectType="Spin" dx="15" fmlaLink="NeoBer1700!$F$26" max="30000" page="10" val="0"/>
</file>

<file path=xl/ctrlProps/ctrlProp859.xml><?xml version="1.0" encoding="utf-8"?>
<formControlPr xmlns="http://schemas.microsoft.com/office/spreadsheetml/2009/9/main" objectType="Spin" dx="15" fmlaLink="NeoBer1700!$F$21" max="30000" page="10" val="0"/>
</file>

<file path=xl/ctrlProps/ctrlProp860.xml><?xml version="1.0" encoding="utf-8"?>
<formControlPr xmlns="http://schemas.microsoft.com/office/spreadsheetml/2009/9/main" objectType="Spin" dx="15" fmlaLink="NeoBer1700!$F$27" max="30000" page="10" val="0"/>
</file>

<file path=xl/ctrlProps/ctrlProp861.xml><?xml version="1.0" encoding="utf-8"?>
<formControlPr xmlns="http://schemas.microsoft.com/office/spreadsheetml/2009/9/main" objectType="Spin" dx="15" fmlaLink="NeoBer1700!$F$21" max="30000" page="10" val="0"/>
</file>

<file path=xl/ctrlProps/ctrlProp862.xml><?xml version="1.0" encoding="utf-8"?>
<formControlPr xmlns="http://schemas.microsoft.com/office/spreadsheetml/2009/9/main" objectType="Spin" dx="15" fmlaLink="NeoBer1700!$F$28" max="30000" page="10" val="0"/>
</file>

<file path=xl/ctrlProps/ctrlProp863.xml><?xml version="1.0" encoding="utf-8"?>
<formControlPr xmlns="http://schemas.microsoft.com/office/spreadsheetml/2009/9/main" objectType="Spin" dx="15" fmlaLink="NeoBer1700!$F$21" max="30000" page="10" val="0"/>
</file>

<file path=xl/ctrlProps/ctrlProp864.xml><?xml version="1.0" encoding="utf-8"?>
<formControlPr xmlns="http://schemas.microsoft.com/office/spreadsheetml/2009/9/main" objectType="Spin" dx="15" fmlaLink="NeoBer1700!$F$22" max="30000" page="10" val="0"/>
</file>

<file path=xl/ctrlProps/ctrlProp865.xml><?xml version="1.0" encoding="utf-8"?>
<formControlPr xmlns="http://schemas.microsoft.com/office/spreadsheetml/2009/9/main" objectType="Spin" dx="15" fmlaLink="NeoBer1700!$F$23" max="30000" page="10" val="0"/>
</file>

<file path=xl/ctrlProps/ctrlProp866.xml><?xml version="1.0" encoding="utf-8"?>
<formControlPr xmlns="http://schemas.microsoft.com/office/spreadsheetml/2009/9/main" objectType="Spin" dx="15" fmlaLink="NeoBer1700!$F$24" max="30000" page="10" val="0"/>
</file>

<file path=xl/ctrlProps/ctrlProp867.xml><?xml version="1.0" encoding="utf-8"?>
<formControlPr xmlns="http://schemas.microsoft.com/office/spreadsheetml/2009/9/main" objectType="Spin" dx="15" fmlaLink="NeoBer1700!$F$25" max="30000" page="10" val="0"/>
</file>

<file path=xl/ctrlProps/ctrlProp868.xml><?xml version="1.0" encoding="utf-8"?>
<formControlPr xmlns="http://schemas.microsoft.com/office/spreadsheetml/2009/9/main" objectType="Spin" dx="15" fmlaLink="NeoBer1700!$F$26" max="30000" page="10" val="0"/>
</file>

<file path=xl/ctrlProps/ctrlProp869.xml><?xml version="1.0" encoding="utf-8"?>
<formControlPr xmlns="http://schemas.microsoft.com/office/spreadsheetml/2009/9/main" objectType="Spin" dx="15" fmlaLink="NeoBer1700!$F$27" max="30000" page="10" val="0"/>
</file>

<file path=xl/ctrlProps/ctrlProp870.xml><?xml version="1.0" encoding="utf-8"?>
<formControlPr xmlns="http://schemas.microsoft.com/office/spreadsheetml/2009/9/main" objectType="Spin" dx="15" fmlaLink="NeoBer1700!$F$28" max="30000" page="10" val="0"/>
</file>

<file path=xl/ctrlProps/ctrlProp871.xml><?xml version="1.0" encoding="utf-8"?>
<formControlPr xmlns="http://schemas.microsoft.com/office/spreadsheetml/2009/9/main" objectType="Drop" dropStyle="combo" dx="16" fmlaLink="NeoBer1700!$F$35" fmlaRange="tbl_Neo_IntralipidSmof" sel="1" val="0"/>
</file>

<file path=xl/ctrlProps/ctrlProp872.xml><?xml version="1.0" encoding="utf-8"?>
<formControlPr xmlns="http://schemas.microsoft.com/office/spreadsheetml/2009/9/main" objectType="Spin" dx="15" fmlaLink="PatDetails!$H$2" max="200" min="25" page="10" val="80"/>
</file>

<file path=xl/ctrlProps/ctrlProp873.xml><?xml version="1.0" encoding="utf-8"?>
<formControlPr xmlns="http://schemas.microsoft.com/office/spreadsheetml/2009/9/main" objectType="CheckBox" fmlaLink="NeoBerAfspr!$F$7" lockText="1"/>
</file>

<file path=xl/ctrlProps/ctrlProp874.xml><?xml version="1.0" encoding="utf-8"?>
<formControlPr xmlns="http://schemas.microsoft.com/office/spreadsheetml/2009/9/main" objectType="CheckBox" fmlaLink="NeoBerAfspr!$F$8" lockText="1"/>
</file>

<file path=xl/ctrlProps/ctrlProp875.xml><?xml version="1.0" encoding="utf-8"?>
<formControlPr xmlns="http://schemas.microsoft.com/office/spreadsheetml/2009/9/main" objectType="CheckBox" fmlaLink="NeoBerAfspr!$F$13" lockText="1"/>
</file>

<file path=xl/ctrlProps/ctrlProp876.xml><?xml version="1.0" encoding="utf-8"?>
<formControlPr xmlns="http://schemas.microsoft.com/office/spreadsheetml/2009/9/main" objectType="CheckBox" fmlaLink="NeoBerAfspr!$F$14" lockText="1"/>
</file>

<file path=xl/ctrlProps/ctrlProp877.xml><?xml version="1.0" encoding="utf-8"?>
<formControlPr xmlns="http://schemas.microsoft.com/office/spreadsheetml/2009/9/main" objectType="CheckBox" fmlaLink="NeoBerAfspr!$F$15" lockText="1"/>
</file>

<file path=xl/ctrlProps/ctrlProp878.xml><?xml version="1.0" encoding="utf-8"?>
<formControlPr xmlns="http://schemas.microsoft.com/office/spreadsheetml/2009/9/main" objectType="CheckBox" fmlaLink="NeoBerAfspr!$F$17" lockText="1"/>
</file>

<file path=xl/ctrlProps/ctrlProp879.xml><?xml version="1.0" encoding="utf-8"?>
<formControlPr xmlns="http://schemas.microsoft.com/office/spreadsheetml/2009/9/main" objectType="CheckBox" fmlaLink="NeoBerAfspr!$F$18" lockText="1"/>
</file>

<file path=xl/ctrlProps/ctrlProp880.xml><?xml version="1.0" encoding="utf-8"?>
<formControlPr xmlns="http://schemas.microsoft.com/office/spreadsheetml/2009/9/main" objectType="CheckBox" fmlaLink="NeoBerAfspr!$F$21" lockText="1"/>
</file>

<file path=xl/ctrlProps/ctrlProp881.xml><?xml version="1.0" encoding="utf-8"?>
<formControlPr xmlns="http://schemas.microsoft.com/office/spreadsheetml/2009/9/main" objectType="CheckBox" fmlaLink="NeoBerAfspr!$F$22" lockText="1"/>
</file>

<file path=xl/ctrlProps/ctrlProp882.xml><?xml version="1.0" encoding="utf-8"?>
<formControlPr xmlns="http://schemas.microsoft.com/office/spreadsheetml/2009/9/main" objectType="CheckBox" fmlaLink="NeoBerAfspr!$H$9" lockText="1"/>
</file>

<file path=xl/ctrlProps/ctrlProp883.xml><?xml version="1.0" encoding="utf-8"?>
<formControlPr xmlns="http://schemas.microsoft.com/office/spreadsheetml/2009/9/main" objectType="CheckBox" fmlaLink="NeoBerAfspr!$H$10" lockText="1"/>
</file>

<file path=xl/ctrlProps/ctrlProp884.xml><?xml version="1.0" encoding="utf-8"?>
<formControlPr xmlns="http://schemas.microsoft.com/office/spreadsheetml/2009/9/main" objectType="CheckBox" fmlaLink="NeoBerAfspr!$H$11" lockText="1"/>
</file>

<file path=xl/ctrlProps/ctrlProp885.xml><?xml version="1.0" encoding="utf-8"?>
<formControlPr xmlns="http://schemas.microsoft.com/office/spreadsheetml/2009/9/main" objectType="CheckBox" fmlaLink="NeoBerAfspr!$H$8" lockText="1"/>
</file>

<file path=xl/ctrlProps/ctrlProp886.xml><?xml version="1.0" encoding="utf-8"?>
<formControlPr xmlns="http://schemas.microsoft.com/office/spreadsheetml/2009/9/main" objectType="CheckBox" fmlaLink="NeoBerAfspr!$F$12" lockText="1"/>
</file>

<file path=xl/ctrlProps/ctrlProp887.xml><?xml version="1.0" encoding="utf-8"?>
<formControlPr xmlns="http://schemas.microsoft.com/office/spreadsheetml/2009/9/main" objectType="CheckBox" fmlaLink="NeoBerAfspr!$H$13" lockText="1"/>
</file>

<file path=xl/ctrlProps/ctrlProp888.xml><?xml version="1.0" encoding="utf-8"?>
<formControlPr xmlns="http://schemas.microsoft.com/office/spreadsheetml/2009/9/main" objectType="CheckBox" fmlaLink="NeoBerAfspr!$H$15" lockText="1"/>
</file>

<file path=xl/ctrlProps/ctrlProp889.xml><?xml version="1.0" encoding="utf-8"?>
<formControlPr xmlns="http://schemas.microsoft.com/office/spreadsheetml/2009/9/main" objectType="CheckBox" fmlaLink="NeoBerAfspr!$H$16" lockText="1"/>
</file>

<file path=xl/ctrlProps/ctrlProp890.xml><?xml version="1.0" encoding="utf-8"?>
<formControlPr xmlns="http://schemas.microsoft.com/office/spreadsheetml/2009/9/main" objectType="CheckBox" fmlaLink="NeoBerAfspr!$H$18" lockText="1"/>
</file>

<file path=xl/ctrlProps/ctrlProp891.xml><?xml version="1.0" encoding="utf-8"?>
<formControlPr xmlns="http://schemas.microsoft.com/office/spreadsheetml/2009/9/main" objectType="CheckBox" fmlaLink="NeoBerAfspr!$H$20" lockText="1"/>
</file>

<file path=xl/ctrlProps/ctrlProp892.xml><?xml version="1.0" encoding="utf-8"?>
<formControlPr xmlns="http://schemas.microsoft.com/office/spreadsheetml/2009/9/main" objectType="CheckBox" fmlaLink="NeoBerAfspr!$H$19" lockText="1"/>
</file>

<file path=xl/ctrlProps/ctrlProp893.xml><?xml version="1.0" encoding="utf-8"?>
<formControlPr xmlns="http://schemas.microsoft.com/office/spreadsheetml/2009/9/main" objectType="CheckBox" fmlaLink="NeoBerAfspr!$H$22" lockText="1"/>
</file>

<file path=xl/ctrlProps/ctrlProp894.xml><?xml version="1.0" encoding="utf-8"?>
<formControlPr xmlns="http://schemas.microsoft.com/office/spreadsheetml/2009/9/main" objectType="CheckBox" fmlaLink="NeoBerAfspr!$F$23" lockText="1"/>
</file>

<file path=xl/ctrlProps/ctrlProp895.xml><?xml version="1.0" encoding="utf-8"?>
<formControlPr xmlns="http://schemas.microsoft.com/office/spreadsheetml/2009/9/main" objectType="CheckBox" fmlaLink="NeoBerAfspr!$H$23" lockText="1"/>
</file>

<file path=xl/ctrlProps/ctrlProp896.xml><?xml version="1.0" encoding="utf-8"?>
<formControlPr xmlns="http://schemas.microsoft.com/office/spreadsheetml/2009/9/main" objectType="CheckBox" fmlaLink="NeoBerAfspr!$H$24" lockText="1"/>
</file>

<file path=xl/ctrlProps/ctrlProp897.xml><?xml version="1.0" encoding="utf-8"?>
<formControlPr xmlns="http://schemas.microsoft.com/office/spreadsheetml/2009/9/main" objectType="CheckBox" fmlaLink="NeoBerAfspr!$H$25" lockText="1"/>
</file>

<file path=xl/ctrlProps/ctrlProp898.xml><?xml version="1.0" encoding="utf-8"?>
<formControlPr xmlns="http://schemas.microsoft.com/office/spreadsheetml/2009/9/main" objectType="CheckBox" fmlaLink="NeoBerAfspr!$H$26" lockText="1"/>
</file>

<file path=xl/ctrlProps/ctrlProp899.xml><?xml version="1.0" encoding="utf-8"?>
<formControlPr xmlns="http://schemas.microsoft.com/office/spreadsheetml/2009/9/main" objectType="CheckBox" fmlaLink="NeoBerAfspr!$H$27" lockText="1"/>
</file>

<file path=xl/ctrlProps/ctrlProp900.xml><?xml version="1.0" encoding="utf-8"?>
<formControlPr xmlns="http://schemas.microsoft.com/office/spreadsheetml/2009/9/main" objectType="CheckBox" fmlaLink="NeoBerAfspr!$H$28" lockText="1"/>
</file>

<file path=xl/ctrlProps/ctrlProp901.xml><?xml version="1.0" encoding="utf-8"?>
<formControlPr xmlns="http://schemas.microsoft.com/office/spreadsheetml/2009/9/main" objectType="CheckBox" fmlaLink="NeoBerAfspr!$H$29" lockText="1"/>
</file>

<file path=xl/ctrlProps/ctrlProp902.xml><?xml version="1.0" encoding="utf-8"?>
<formControlPr xmlns="http://schemas.microsoft.com/office/spreadsheetml/2009/9/main" objectType="CheckBox" fmlaLink="NeoBerAfspr!$H$30" lockText="1"/>
</file>

<file path=xl/ctrlProps/ctrlProp903.xml><?xml version="1.0" encoding="utf-8"?>
<formControlPr xmlns="http://schemas.microsoft.com/office/spreadsheetml/2009/9/main" objectType="CheckBox" fmlaLink="NeoBerAfspr!$F$31" lockText="1"/>
</file>

<file path=xl/ctrlProps/ctrlProp904.xml><?xml version="1.0" encoding="utf-8"?>
<formControlPr xmlns="http://schemas.microsoft.com/office/spreadsheetml/2009/9/main" objectType="CheckBox" fmlaLink="NeoBerAfspr!$J$7" lockText="1"/>
</file>

<file path=xl/ctrlProps/ctrlProp905.xml><?xml version="1.0" encoding="utf-8"?>
<formControlPr xmlns="http://schemas.microsoft.com/office/spreadsheetml/2009/9/main" objectType="CheckBox" fmlaLink="NeoBerAfspr!$J$8" lockText="1"/>
</file>

<file path=xl/ctrlProps/ctrlProp906.xml><?xml version="1.0" encoding="utf-8"?>
<formControlPr xmlns="http://schemas.microsoft.com/office/spreadsheetml/2009/9/main" objectType="CheckBox" fmlaLink="NeoBerAfspr!$J$9" lockText="1"/>
</file>

<file path=xl/ctrlProps/ctrlProp907.xml><?xml version="1.0" encoding="utf-8"?>
<formControlPr xmlns="http://schemas.microsoft.com/office/spreadsheetml/2009/9/main" objectType="CheckBox" fmlaLink="NeoBerAfspr!$J$10" lockText="1"/>
</file>

<file path=xl/ctrlProps/ctrlProp908.xml><?xml version="1.0" encoding="utf-8"?>
<formControlPr xmlns="http://schemas.microsoft.com/office/spreadsheetml/2009/9/main" objectType="CheckBox" fmlaLink="NeoBerAfspr!$J$12" lockText="1"/>
</file>

<file path=xl/ctrlProps/ctrlProp909.xml><?xml version="1.0" encoding="utf-8"?>
<formControlPr xmlns="http://schemas.microsoft.com/office/spreadsheetml/2009/9/main" objectType="CheckBox" fmlaLink="NeoBerAfspr!$J$13" lockText="1"/>
</file>

<file path=xl/ctrlProps/ctrlProp910.xml><?xml version="1.0" encoding="utf-8"?>
<formControlPr xmlns="http://schemas.microsoft.com/office/spreadsheetml/2009/9/main" objectType="CheckBox" fmlaLink="NeoBerAfspr!$J$14" lockText="1"/>
</file>

<file path=xl/ctrlProps/ctrlProp911.xml><?xml version="1.0" encoding="utf-8"?>
<formControlPr xmlns="http://schemas.microsoft.com/office/spreadsheetml/2009/9/main" objectType="CheckBox" fmlaLink="NeoBerAfspr!$J$15" lockText="1"/>
</file>

<file path=xl/ctrlProps/ctrlProp912.xml><?xml version="1.0" encoding="utf-8"?>
<formControlPr xmlns="http://schemas.microsoft.com/office/spreadsheetml/2009/9/main" objectType="CheckBox" fmlaLink="NeoBerAfspr!$J$16" lockText="1"/>
</file>

<file path=xl/ctrlProps/ctrlProp913.xml><?xml version="1.0" encoding="utf-8"?>
<formControlPr xmlns="http://schemas.microsoft.com/office/spreadsheetml/2009/9/main" objectType="CheckBox" fmlaLink="NeoBerAfspr!$J$19" lockText="1"/>
</file>

<file path=xl/ctrlProps/ctrlProp914.xml><?xml version="1.0" encoding="utf-8"?>
<formControlPr xmlns="http://schemas.microsoft.com/office/spreadsheetml/2009/9/main" objectType="CheckBox" fmlaLink="NeoBerAfspr!$J$17" lockText="1"/>
</file>

<file path=xl/ctrlProps/ctrlProp915.xml><?xml version="1.0" encoding="utf-8"?>
<formControlPr xmlns="http://schemas.microsoft.com/office/spreadsheetml/2009/9/main" objectType="CheckBox" fmlaLink="NeoBerAfspr!$J$24" lockText="1"/>
</file>

<file path=xl/ctrlProps/ctrlProp916.xml><?xml version="1.0" encoding="utf-8"?>
<formControlPr xmlns="http://schemas.microsoft.com/office/spreadsheetml/2009/9/main" objectType="CheckBox" fmlaLink="NeoBerAfspr!$L$24" lockText="1"/>
</file>

<file path=xl/ctrlProps/ctrlProp917.xml><?xml version="1.0" encoding="utf-8"?>
<formControlPr xmlns="http://schemas.microsoft.com/office/spreadsheetml/2009/9/main" objectType="CheckBox" fmlaLink="NeoBerAfspr!$L$25" lockText="1"/>
</file>

<file path=xl/ctrlProps/ctrlProp918.xml><?xml version="1.0" encoding="utf-8"?>
<formControlPr xmlns="http://schemas.microsoft.com/office/spreadsheetml/2009/9/main" objectType="CheckBox" fmlaLink="NeoBerAfspr!$L$26" lockText="1"/>
</file>

<file path=xl/ctrlProps/ctrlProp919.xml><?xml version="1.0" encoding="utf-8"?>
<formControlPr xmlns="http://schemas.microsoft.com/office/spreadsheetml/2009/9/main" objectType="CheckBox" fmlaLink="NeoBerAfspr!$L$27" lockText="1"/>
</file>

<file path=xl/ctrlProps/ctrlProp920.xml><?xml version="1.0" encoding="utf-8"?>
<formControlPr xmlns="http://schemas.microsoft.com/office/spreadsheetml/2009/9/main" objectType="CheckBox" fmlaLink="NeoBerAfspr!$J$20" lockText="1"/>
</file>

<file path=xl/ctrlProps/ctrlProp921.xml><?xml version="1.0" encoding="utf-8"?>
<formControlPr xmlns="http://schemas.microsoft.com/office/spreadsheetml/2009/9/main" objectType="CheckBox" fmlaLink="NeoBerAfspr!$L$21" lockText="1"/>
</file>

<file path=xl/ctrlProps/ctrlProp922.xml><?xml version="1.0" encoding="utf-8"?>
<formControlPr xmlns="http://schemas.microsoft.com/office/spreadsheetml/2009/9/main" objectType="CheckBox" fmlaLink="NeoBerAfspr!$L$22" lockText="1"/>
</file>

<file path=xl/ctrlProps/ctrlProp923.xml><?xml version="1.0" encoding="utf-8"?>
<formControlPr xmlns="http://schemas.microsoft.com/office/spreadsheetml/2009/9/main" objectType="CheckBox" fmlaLink="NeoBerAfspr!$L$23" lockText="1"/>
</file>

<file path=xl/ctrlProps/ctrlProp924.xml><?xml version="1.0" encoding="utf-8"?>
<formControlPr xmlns="http://schemas.microsoft.com/office/spreadsheetml/2009/9/main" objectType="Spin" dx="15" fmlaLink="NeoBerAfspr!$B$12" max="24" page="10" val="0"/>
</file>

<file path=xl/ctrlProps/ctrlProp925.xml><?xml version="1.0" encoding="utf-8"?>
<formControlPr xmlns="http://schemas.microsoft.com/office/spreadsheetml/2009/9/main" objectType="Spin" dx="15" fmlaLink="NeoBerAfspr!$K$17" max="24" page="10" val="0"/>
</file>

<file path=xl/ctrlProps/ctrlProp926.xml><?xml version="1.0" encoding="utf-8"?>
<formControlPr xmlns="http://schemas.microsoft.com/office/spreadsheetml/2009/9/main" objectType="Spin" dx="15" fmlaLink="NeoBerAfspr!$L$17" max="1000" page="10" val="0"/>
</file>

<file path=xl/ctrlProps/ctrlProp927.xml><?xml version="1.0" encoding="utf-8"?>
<formControlPr xmlns="http://schemas.microsoft.com/office/spreadsheetml/2009/9/main" objectType="CheckBox" fmlaLink="NeoBerAfspr!$B$27" lockText="1"/>
</file>

<file path=xl/ctrlProps/ctrlProp928.xml><?xml version="1.0" encoding="utf-8"?>
<formControlPr xmlns="http://schemas.microsoft.com/office/spreadsheetml/2009/9/main" objectType="CheckBox" fmlaLink="NeoBerAfspr!$B$28" lockText="1"/>
</file>

<file path=xl/ctrlProps/ctrlProp929.xml><?xml version="1.0" encoding="utf-8"?>
<formControlPr xmlns="http://schemas.microsoft.com/office/spreadsheetml/2009/9/main" objectType="CheckBox" fmlaLink="NeoBerAfspr!$B$29" lockText="1"/>
</file>

<file path=xl/ctrlProps/ctrlProp930.xml><?xml version="1.0" encoding="utf-8"?>
<formControlPr xmlns="http://schemas.microsoft.com/office/spreadsheetml/2009/9/main" objectType="CheckBox" fmlaLink="NeoBerAfspr!$B$30" lockText="1"/>
</file>

<file path=xl/ctrlProps/ctrlProp931.xml><?xml version="1.0" encoding="utf-8"?>
<formControlPr xmlns="http://schemas.microsoft.com/office/spreadsheetml/2009/9/main" objectType="CheckBox" fmlaLink="NeoBerAfspr!$B$34" lockText="1"/>
</file>

<file path=xl/ctrlProps/ctrlProp932.xml><?xml version="1.0" encoding="utf-8"?>
<formControlPr xmlns="http://schemas.microsoft.com/office/spreadsheetml/2009/9/main" objectType="CheckBox" fmlaLink="NeoBerAfspr!$D$35" lockText="1"/>
</file>

<file path=xl/ctrlProps/ctrlProp933.xml><?xml version="1.0" encoding="utf-8"?>
<formControlPr xmlns="http://schemas.microsoft.com/office/spreadsheetml/2009/9/main" objectType="CheckBox" fmlaLink="NeoBerAfspr!$D$36" lockText="1"/>
</file>

<file path=xl/ctrlProps/ctrlProp934.xml><?xml version="1.0" encoding="utf-8"?>
<formControlPr xmlns="http://schemas.microsoft.com/office/spreadsheetml/2009/9/main" objectType="Drop" dropStyle="combo" dx="16" fmlaLink="NeoBerAfspr!$D$34" fmlaRange="tbl_Ped_DrainLokatie" noThreeD="1" sel="0" val="0"/>
</file>

<file path=xl/ctrlProps/ctrlProp935.xml><?xml version="1.0" encoding="utf-8"?>
<formControlPr xmlns="http://schemas.microsoft.com/office/spreadsheetml/2009/9/main" objectType="CheckBox" fmlaLink="NeoBerAfspr!$B$37" lockText="1"/>
</file>

<file path=xl/ctrlProps/ctrlProp936.xml><?xml version="1.0" encoding="utf-8"?>
<formControlPr xmlns="http://schemas.microsoft.com/office/spreadsheetml/2009/9/main" objectType="Drop" dropStyle="combo" dx="16" fmlaLink="NeoBerAfspr!$D$37" fmlaRange="tbl_Ped_DrainLokatie" noThreeD="1" sel="0" val="0"/>
</file>

<file path=xl/ctrlProps/ctrlProp937.xml><?xml version="1.0" encoding="utf-8"?>
<formControlPr xmlns="http://schemas.microsoft.com/office/spreadsheetml/2009/9/main" objectType="CheckBox" fmlaLink="NeoBerAfspr!$B$7" lockText="1"/>
</file>

<file path=xl/ctrlProps/ctrlProp938.xml><?xml version="1.0" encoding="utf-8"?>
<formControlPr xmlns="http://schemas.microsoft.com/office/spreadsheetml/2009/9/main" objectType="CheckBox" fmlaLink="NeoBerAfspr!$B$8" lockText="1"/>
</file>

<file path=xl/ctrlProps/ctrlProp939.xml><?xml version="1.0" encoding="utf-8"?>
<formControlPr xmlns="http://schemas.microsoft.com/office/spreadsheetml/2009/9/main" objectType="CheckBox" fmlaLink="NeoBerAfspr!$B$9" lockText="1"/>
</file>

<file path=xl/ctrlProps/ctrlProp940.xml><?xml version="1.0" encoding="utf-8"?>
<formControlPr xmlns="http://schemas.microsoft.com/office/spreadsheetml/2009/9/main" objectType="CheckBox" fmlaLink="NeoBerAfspr!$B$10" lockText="1"/>
</file>

<file path=xl/ctrlProps/ctrlProp941.xml><?xml version="1.0" encoding="utf-8"?>
<formControlPr xmlns="http://schemas.microsoft.com/office/spreadsheetml/2009/9/main" objectType="CheckBox" fmlaLink="NeoBerAfspr!$B$22" lockText="1"/>
</file>

<file path=xl/ctrlProps/ctrlProp942.xml><?xml version="1.0" encoding="utf-8"?>
<formControlPr xmlns="http://schemas.microsoft.com/office/spreadsheetml/2009/9/main" objectType="Drop" dropStyle="combo" dx="16" fmlaLink="NeoBerAfspr!$D$22" fmlaRange="tbl_Ped_aEEG" noThreeD="1" sel="0" val="0"/>
</file>

<file path=xl/ctrlProps/ctrlProp943.xml><?xml version="1.0" encoding="utf-8"?>
<formControlPr xmlns="http://schemas.microsoft.com/office/spreadsheetml/2009/9/main" objectType="CheckBox" fmlaLink="NeoBerAfspr!$B$23" lockText="1"/>
</file>

<file path=xl/ctrlProps/ctrlProp944.xml><?xml version="1.0" encoding="utf-8"?>
<formControlPr xmlns="http://schemas.microsoft.com/office/spreadsheetml/2009/9/main" objectType="CheckBox" fmlaLink="NeoBerAfspr!$B$25" lockText="1"/>
</file>

<file path=xl/ctrlProps/ctrlProp945.xml><?xml version="1.0" encoding="utf-8"?>
<formControlPr xmlns="http://schemas.microsoft.com/office/spreadsheetml/2009/9/main" objectType="CheckBox" fmlaLink="NeoBerAfspr!$B$26" lockText="1"/>
</file>

<file path=xl/ctrlProps/ctrlProp946.xml><?xml version="1.0" encoding="utf-8"?>
<formControlPr xmlns="http://schemas.microsoft.com/office/spreadsheetml/2009/9/main" objectType="CheckBox" fmlaLink="NeoBerAfspr!$B$24" lockText="1"/>
</file>

<file path=xl/ctrlProps/ctrlProp947.xml><?xml version="1.0" encoding="utf-8"?>
<formControlPr xmlns="http://schemas.microsoft.com/office/spreadsheetml/2009/9/main" objectType="CheckBox" fmlaLink="NeoBerAfspr!$B$31" lockText="1"/>
</file>

<file path=xl/ctrlProps/ctrlProp948.xml><?xml version="1.0" encoding="utf-8"?>
<formControlPr xmlns="http://schemas.microsoft.com/office/spreadsheetml/2009/9/main" objectType="CheckBox" fmlaLink="NeoBerAfspr!$B$32" lockText="1"/>
</file>

<file path=xl/ctrlProps/ctrlProp949.xml><?xml version="1.0" encoding="utf-8"?>
<formControlPr xmlns="http://schemas.microsoft.com/office/spreadsheetml/2009/9/main" objectType="CheckBox" fmlaLink="NeoBerAfspr!$B$11" lockText="1"/>
</file>

<file path=xl/ctrlProps/ctrlProp950.xml><?xml version="1.0" encoding="utf-8"?>
<formControlPr xmlns="http://schemas.microsoft.com/office/spreadsheetml/2009/9/main" objectType="CheckBox" fmlaLink="NeoBerAfspr!$B$15" lockText="1"/>
</file>

<file path=xl/ctrlProps/ctrlProp951.xml><?xml version="1.0" encoding="utf-8"?>
<formControlPr xmlns="http://schemas.microsoft.com/office/spreadsheetml/2009/9/main" objectType="CheckBox" fmlaLink="NeoBerAfspr!$B$16" lockText="1"/>
</file>

<file path=xl/ctrlProps/ctrlProp952.xml><?xml version="1.0" encoding="utf-8"?>
<formControlPr xmlns="http://schemas.microsoft.com/office/spreadsheetml/2009/9/main" objectType="CheckBox" fmlaLink="NeoBerAfspr!$B$17" lockText="1"/>
</file>

<file path=xl/ctrlProps/ctrlProp953.xml><?xml version="1.0" encoding="utf-8"?>
<formControlPr xmlns="http://schemas.microsoft.com/office/spreadsheetml/2009/9/main" objectType="CheckBox" fmlaLink="NeoBerAfspr!$B$19" lockText="1"/>
</file>

<file path=xl/ctrlProps/ctrlProp954.xml><?xml version="1.0" encoding="utf-8"?>
<formControlPr xmlns="http://schemas.microsoft.com/office/spreadsheetml/2009/9/main" objectType="CheckBox" fmlaLink="NeoBerAfspr!$D$11" lockText="1"/>
</file>

<file path=xl/ctrlProps/ctrlProp955.xml><?xml version="1.0" encoding="utf-8"?>
<formControlPr xmlns="http://schemas.microsoft.com/office/spreadsheetml/2009/9/main" objectType="CheckBox" fmlaLink="NeoBerAfspr!$D$12" lockText="1"/>
</file>

<file path=xl/ctrlProps/ctrlProp956.xml><?xml version="1.0" encoding="utf-8"?>
<formControlPr xmlns="http://schemas.microsoft.com/office/spreadsheetml/2009/9/main" objectType="CheckBox" fmlaLink="NeoBerAfspr!$D$13" lockText="1"/>
</file>

<file path=xl/ctrlProps/ctrlProp957.xml><?xml version="1.0" encoding="utf-8"?>
<formControlPr xmlns="http://schemas.microsoft.com/office/spreadsheetml/2009/9/main" objectType="CheckBox" fmlaLink="NeoBerAfspr!$D$14" lockText="1"/>
</file>

<file path=xl/ctrlProps/ctrlProp958.xml><?xml version="1.0" encoding="utf-8"?>
<formControlPr xmlns="http://schemas.microsoft.com/office/spreadsheetml/2009/9/main" objectType="Spin" dx="15" fmlaLink="NeoBerAfspr!$D$27" max="97" min="1" page="10" val="50"/>
</file>

<file path=xl/ctrlProps/ctrlProp959.xml><?xml version="1.0" encoding="utf-8"?>
<formControlPr xmlns="http://schemas.microsoft.com/office/spreadsheetml/2009/9/main" objectType="Drop" dropStyle="combo" dx="16" fmlaLink="NeoBerAfspr!$D$36" fmlaRange="tbl_Ped_DrainZuig" noThreeD="1" sel="0" val="0"/>
</file>

<file path=xl/ctrlProps/ctrlProp960.xml><?xml version="1.0" encoding="utf-8"?>
<formControlPr xmlns="http://schemas.microsoft.com/office/spreadsheetml/2009/9/main" objectType="Drop" dropStyle="combo" dx="16" fmlaLink="NeoBerAfspr!$D$39" fmlaRange="tbl_Ped_DrainZuig" noThreeD="1" sel="0" val="0"/>
</file>

<file path=xl/ctrlProps/ctrlProp961.xml><?xml version="1.0" encoding="utf-8"?>
<formControlPr xmlns="http://schemas.microsoft.com/office/spreadsheetml/2009/9/main" objectType="Drop" dropStyle="combo" dx="16" fmlaLink="NeoBerAfspr!$D$35" fmlaRange="tbl_Ped_DrainModus" noThreeD="1" sel="0" val="0"/>
</file>

<file path=xl/ctrlProps/ctrlProp962.xml><?xml version="1.0" encoding="utf-8"?>
<formControlPr xmlns="http://schemas.microsoft.com/office/spreadsheetml/2009/9/main" objectType="Drop" dropStyle="combo" dx="16" fmlaLink="NeoBerAfspr!$D$38" fmlaRange="tbl_Ped_DrainModus" noThreeD="1" sel="0" val="0"/>
</file>

<file path=xl/ctrlProps/ctrlProp963.xml><?xml version="1.0" encoding="utf-8"?>
<formControlPr xmlns="http://schemas.microsoft.com/office/spreadsheetml/2009/9/main" objectType="CheckBox" fmlaLink="NeoBerAfspr!$D$35" lockText="1"/>
</file>

<file path=xl/ctrlProps/ctrlProp964.xml><?xml version="1.0" encoding="utf-8"?>
<formControlPr xmlns="http://schemas.microsoft.com/office/spreadsheetml/2009/9/main" objectType="CheckBox" fmlaLink="NeoBerAfspr!$D$36" lockText="1"/>
</file>

<file path=xl/ctrlProps/ctrlProp965.xml><?xml version="1.0" encoding="utf-8"?>
<formControlPr xmlns="http://schemas.microsoft.com/office/spreadsheetml/2009/9/main" objectType="CheckBox" fmlaLink="NeoBerAfspr!$B$40" lockText="1"/>
</file>

<file path=xl/ctrlProps/ctrlProp966.xml><?xml version="1.0" encoding="utf-8"?>
<formControlPr xmlns="http://schemas.microsoft.com/office/spreadsheetml/2009/9/main" objectType="Drop" dropStyle="combo" dx="16" fmlaLink="NeoBerAfspr!$D$40" fmlaRange="tbl_Ped_DrainLokatie" noThreeD="1" sel="0" val="0"/>
</file>

<file path=xl/ctrlProps/ctrlProp967.xml><?xml version="1.0" encoding="utf-8"?>
<formControlPr xmlns="http://schemas.microsoft.com/office/spreadsheetml/2009/9/main" objectType="Drop" dropStyle="combo" dx="16" fmlaLink="NeoBerAfspr!$D$42" fmlaRange="tbl_Ped_DrainZuig" noThreeD="1" sel="0" val="0"/>
</file>

<file path=xl/ctrlProps/ctrlProp968.xml><?xml version="1.0" encoding="utf-8"?>
<formControlPr xmlns="http://schemas.microsoft.com/office/spreadsheetml/2009/9/main" objectType="Drop" dropStyle="combo" dx="16" fmlaLink="NeoBerAfspr!$D$41" fmlaRange="tbl_Ped_DrainModus" noThreeD="1" sel="0" val="0"/>
</file>

<file path=xl/ctrlProps/ctrlProp969.xml><?xml version="1.0" encoding="utf-8"?>
<formControlPr xmlns="http://schemas.microsoft.com/office/spreadsheetml/2009/9/main" objectType="CheckBox" fmlaLink="NeoBerAfspr!$B$43" lockText="1"/>
</file>

<file path=xl/ctrlProps/ctrlProp970.xml><?xml version="1.0" encoding="utf-8"?>
<formControlPr xmlns="http://schemas.microsoft.com/office/spreadsheetml/2009/9/main" objectType="CheckBox" fmlaLink="NeoBerAfspr!$B$45" lockText="1"/>
</file>

<file path=xl/ctrlProps/ctrlProp971.xml><?xml version="1.0" encoding="utf-8"?>
<formControlPr xmlns="http://schemas.microsoft.com/office/spreadsheetml/2009/9/main" objectType="CheckBox" fmlaLink="NeoBerAfspr!$B$44" lockText="1"/>
</file>

<file path=xl/ctrlProps/ctrlProp972.xml><?xml version="1.0" encoding="utf-8"?>
<formControlPr xmlns="http://schemas.microsoft.com/office/spreadsheetml/2009/9/main" objectType="CheckBox" fmlaLink="NeoBerAfspr!$D$43" lockText="1"/>
</file>

<file path=xl/ctrlProps/ctrlProp973.xml><?xml version="1.0" encoding="utf-8"?>
<formControlPr xmlns="http://schemas.microsoft.com/office/spreadsheetml/2009/9/main" objectType="CheckBox" fmlaLink="NeoBerAfspr!$D$44" lockText="1"/>
</file>

<file path=xl/ctrlProps/ctrlProp974.xml><?xml version="1.0" encoding="utf-8"?>
<formControlPr xmlns="http://schemas.microsoft.com/office/spreadsheetml/2009/9/main" objectType="CheckBox" fmlaLink="NeoBerAfspr!$D$45" lockText="1"/>
</file>

<file path=xl/ctrlProps/ctrlProp975.xml><?xml version="1.0" encoding="utf-8"?>
<formControlPr xmlns="http://schemas.microsoft.com/office/spreadsheetml/2009/9/main" objectType="Drop" dropStyle="combo" dx="16" fmlaLink="NeoBerAfspr!$D$46" fmlaRange="tbl_Ped_LiquorDrain" noThreeD="1" sel="0" val="0"/>
</file>

<file path=xl/ctrlProps/ctrlProp976.xml><?xml version="1.0" encoding="utf-8"?>
<formControlPr xmlns="http://schemas.microsoft.com/office/spreadsheetml/2009/9/main" objectType="Spin" dx="15" fmlaLink="NeoBerAfspr!$D$47" max="100" page="10" val="0"/>
</file>

<file path=xl/ctrlProps/ctrlProp977.xml><?xml version="1.0" encoding="utf-8"?>
<formControlPr xmlns="http://schemas.microsoft.com/office/spreadsheetml/2009/9/main" objectType="CheckBox" fmlaLink="NeoBerAfspr!$B$46" lockText="1"/>
</file>

<file path=xl/ctrlProps/ctrlProp978.xml><?xml version="1.0" encoding="utf-8"?>
<formControlPr xmlns="http://schemas.microsoft.com/office/spreadsheetml/2009/9/main" objectType="CheckBox" fmlaLink="NeoBerAfspr!$L$28" lockText="1"/>
</file>

<file path=xl/ctrlProps/ctrlProp979.xml><?xml version="1.0" encoding="utf-8"?>
<formControlPr xmlns="http://schemas.microsoft.com/office/spreadsheetml/2009/9/main" objectType="Spin" dx="15" fmlaLink="NeoBerAfspr!$C$8" max="10" page="10" val="0"/>
</file>

<file path=xl/ctrlProps/ctrlProp980.xml><?xml version="1.0" encoding="utf-8"?>
<formControlPr xmlns="http://schemas.microsoft.com/office/spreadsheetml/2009/9/main" objectType="Spin" dx="15" fmlaLink="PedBerExtraAfspr!$C$8" max="10" page="10" val="0"/>
</file>

<file path=xl/ctrlProps/ctrlProp981.xml><?xml version="1.0" encoding="utf-8"?>
<formControlPr xmlns="http://schemas.microsoft.com/office/spreadsheetml/2009/9/main" objectType="Drop" dropStyle="combo" dx="16" fmlaLink="NeoBerAfspr!$D$8" fmlaRange="tbl_Ped_Periode" noThreeD="1" sel="0" val="0"/>
</file>

<file path=xl/ctrlProps/ctrlProp982.xml><?xml version="1.0" encoding="utf-8"?>
<formControlPr xmlns="http://schemas.microsoft.com/office/spreadsheetml/2009/9/main" objectType="Drop" dropStyle="combo" dx="16" fmlaLink="NeoBerAfspr!$D$9" fmlaRange="tbl_Ped_Periode" noThreeD="1" sel="0" val="0"/>
</file>

<file path=xl/ctrlProps/ctrlProp983.xml><?xml version="1.0" encoding="utf-8"?>
<formControlPr xmlns="http://schemas.microsoft.com/office/spreadsheetml/2009/9/main" objectType="Spin" dx="15" fmlaLink="PedBerExtraAfspr!$C$8" max="10" page="10" val="0"/>
</file>

<file path=xl/ctrlProps/ctrlProp984.xml><?xml version="1.0" encoding="utf-8"?>
<formControlPr xmlns="http://schemas.microsoft.com/office/spreadsheetml/2009/9/main" objectType="Spin" dx="15" fmlaLink="NeoBerAfspr!$C$9" max="10" page="10" val="0"/>
</file>

<file path=xl/ctrlProps/ctrlProp985.xml><?xml version="1.0" encoding="utf-8"?>
<formControlPr xmlns="http://schemas.microsoft.com/office/spreadsheetml/2009/9/main" objectType="Spin" dx="15" fmlaLink="NeoBerAfspr!$K$20" max="24" page="10" val="0"/>
</file>

<file path=xl/ctrlProps/ctrlProp986.xml><?xml version="1.0" encoding="utf-8"?>
<formControlPr xmlns="http://schemas.microsoft.com/office/spreadsheetml/2009/9/main" objectType="CheckBox" fmlaLink="NeoBerAfspr!$J$29" lockText="1"/>
</file>

<file path=xl/ctrlProps/ctrlProp987.xml><?xml version="1.0" encoding="utf-8"?>
<formControlPr xmlns="http://schemas.microsoft.com/office/spreadsheetml/2009/9/main" objectType="Spin" dx="15" fmlaLink="NeoBerAfspr!$K$29" max="3" page="10" val="0"/>
</file>

<file path=xl/ctrlProps/ctrlProp988.xml><?xml version="1.0" encoding="utf-8"?>
<formControlPr xmlns="http://schemas.microsoft.com/office/spreadsheetml/2009/9/main" objectType="CheckBox" fmlaLink="NeoBerAfspr!$B$18" lockText="1"/>
</file>

<file path=xl/ctrlProps/ctrlProp989.xml><?xml version="1.0" encoding="utf-8"?>
<formControlPr xmlns="http://schemas.microsoft.com/office/spreadsheetml/2009/9/main" objectType="Spin" dx="15" fmlaLink="PedBerExtraAfspr!$C$8" max="10" page="10" val="0"/>
</file>

<file path=xl/ctrlProps/ctrlProp990.xml><?xml version="1.0" encoding="utf-8"?>
<formControlPr xmlns="http://schemas.microsoft.com/office/spreadsheetml/2009/9/main" objectType="Drop" dropStyle="combo" dx="16" fmlaLink="NeoBerAfspr!$D$18" fmlaRange="tbl_Ped_Periode" noThreeD="1" sel="0" val="0"/>
</file>

<file path=xl/ctrlProps/ctrlProp991.xml><?xml version="1.0" encoding="utf-8"?>
<formControlPr xmlns="http://schemas.microsoft.com/office/spreadsheetml/2009/9/main" objectType="Spin" dx="15" fmlaLink="PedBerExtraAfspr!$C$8" max="10" page="10" val="0"/>
</file>

<file path=xl/ctrlProps/ctrlProp992.xml><?xml version="1.0" encoding="utf-8"?>
<formControlPr xmlns="http://schemas.microsoft.com/office/spreadsheetml/2009/9/main" objectType="Spin" dx="15" fmlaLink="NeoBerAfspr!$C$18" max="10" page="10" val="0"/>
</file>

<file path=xl/ctrlProps/ctrlProp993.xml><?xml version="1.0" encoding="utf-8"?>
<formControlPr xmlns="http://schemas.microsoft.com/office/spreadsheetml/2009/9/main" objectType="CheckBox" fmlaLink="NeoBerLab!$C$4" lockText="1"/>
</file>

<file path=xl/ctrlProps/ctrlProp994.xml><?xml version="1.0" encoding="utf-8"?>
<formControlPr xmlns="http://schemas.microsoft.com/office/spreadsheetml/2009/9/main" objectType="CheckBox" fmlaLink="NeoBerLab!C5" lockText="1"/>
</file>

<file path=xl/ctrlProps/ctrlProp995.xml><?xml version="1.0" encoding="utf-8"?>
<formControlPr xmlns="http://schemas.microsoft.com/office/spreadsheetml/2009/9/main" objectType="CheckBox" fmlaLink="NeoBerLab!C7" lockText="1"/>
</file>

<file path=xl/ctrlProps/ctrlProp996.xml><?xml version="1.0" encoding="utf-8"?>
<formControlPr xmlns="http://schemas.microsoft.com/office/spreadsheetml/2009/9/main" objectType="CheckBox" fmlaLink="NeoBerLab!C8" lockText="1"/>
</file>

<file path=xl/ctrlProps/ctrlProp997.xml><?xml version="1.0" encoding="utf-8"?>
<formControlPr xmlns="http://schemas.microsoft.com/office/spreadsheetml/2009/9/main" objectType="CheckBox" fmlaLink="NeoBerLab!C14" lockText="1"/>
</file>

<file path=xl/ctrlProps/ctrlProp998.xml><?xml version="1.0" encoding="utf-8"?>
<formControlPr xmlns="http://schemas.microsoft.com/office/spreadsheetml/2009/9/main" objectType="CheckBox" fmlaLink="NeoBerLab!C13" lockText="1"/>
</file>

<file path=xl/ctrlProps/ctrlProp999.xml><?xml version="1.0" encoding="utf-8"?>
<formControlPr xmlns="http://schemas.microsoft.com/office/spreadsheetml/2009/9/main" objectType="CheckBox" fmlaLink="NeoBerLab!C30" lockText="1"/>
</file>

<file path=xl/ctrlProps/ctrlProp1000.xml><?xml version="1.0" encoding="utf-8"?>
<formControlPr xmlns="http://schemas.microsoft.com/office/spreadsheetml/2009/9/main" objectType="CheckBox" fmlaLink="NeoBerLab!C16" lockText="1"/>
</file>

<file path=xl/ctrlProps/ctrlProp1001.xml><?xml version="1.0" encoding="utf-8"?>
<formControlPr xmlns="http://schemas.microsoft.com/office/spreadsheetml/2009/9/main" objectType="CheckBox" fmlaLink="NeoBerLab!C19" lockText="1"/>
</file>

<file path=xl/ctrlProps/ctrlProp1002.xml><?xml version="1.0" encoding="utf-8"?>
<formControlPr xmlns="http://schemas.microsoft.com/office/spreadsheetml/2009/9/main" objectType="CheckBox" fmlaLink="NeoBerLab!C20" lockText="1"/>
</file>

<file path=xl/ctrlProps/ctrlProp1003.xml><?xml version="1.0" encoding="utf-8"?>
<formControlPr xmlns="http://schemas.microsoft.com/office/spreadsheetml/2009/9/main" objectType="CheckBox" fmlaLink="NeoBerLab!C21" lockText="1"/>
</file>

<file path=xl/ctrlProps/ctrlProp1004.xml><?xml version="1.0" encoding="utf-8"?>
<formControlPr xmlns="http://schemas.microsoft.com/office/spreadsheetml/2009/9/main" objectType="CheckBox" fmlaLink="NeoBerLab!C12" lockText="1"/>
</file>

<file path=xl/ctrlProps/ctrlProp1005.xml><?xml version="1.0" encoding="utf-8"?>
<formControlPr xmlns="http://schemas.microsoft.com/office/spreadsheetml/2009/9/main" objectType="CheckBox" fmlaLink="NeoBerLab!C28" lockText="1"/>
</file>

<file path=xl/ctrlProps/ctrlProp1006.xml><?xml version="1.0" encoding="utf-8"?>
<formControlPr xmlns="http://schemas.microsoft.com/office/spreadsheetml/2009/9/main" objectType="CheckBox" fmlaLink="NeoBerLab!$G$4" lockText="1"/>
</file>

<file path=xl/ctrlProps/ctrlProp1007.xml><?xml version="1.0" encoding="utf-8"?>
<formControlPr xmlns="http://schemas.microsoft.com/office/spreadsheetml/2009/9/main" objectType="CheckBox" fmlaLink="NeoBerLab!G5" lockText="1"/>
</file>

<file path=xl/ctrlProps/ctrlProp1008.xml><?xml version="1.0" encoding="utf-8"?>
<formControlPr xmlns="http://schemas.microsoft.com/office/spreadsheetml/2009/9/main" objectType="CheckBox" fmlaLink="NeoBerLab!G7" lockText="1"/>
</file>

<file path=xl/ctrlProps/ctrlProp1009.xml><?xml version="1.0" encoding="utf-8"?>
<formControlPr xmlns="http://schemas.microsoft.com/office/spreadsheetml/2009/9/main" objectType="CheckBox" fmlaLink="NeoBerLab!G8" lockText="1"/>
</file>

<file path=xl/ctrlProps/ctrlProp1010.xml><?xml version="1.0" encoding="utf-8"?>
<formControlPr xmlns="http://schemas.microsoft.com/office/spreadsheetml/2009/9/main" objectType="CheckBox" fmlaLink="NeoBerLab!G14" lockText="1"/>
</file>

<file path=xl/ctrlProps/ctrlProp1011.xml><?xml version="1.0" encoding="utf-8"?>
<formControlPr xmlns="http://schemas.microsoft.com/office/spreadsheetml/2009/9/main" objectType="CheckBox" fmlaLink="NeoBerLab!G13" lockText="1"/>
</file>

<file path=xl/ctrlProps/ctrlProp1012.xml><?xml version="1.0" encoding="utf-8"?>
<formControlPr xmlns="http://schemas.microsoft.com/office/spreadsheetml/2009/9/main" objectType="CheckBox" fmlaLink="NeoBerLab!G30" lockText="1"/>
</file>

<file path=xl/ctrlProps/ctrlProp1013.xml><?xml version="1.0" encoding="utf-8"?>
<formControlPr xmlns="http://schemas.microsoft.com/office/spreadsheetml/2009/9/main" objectType="CheckBox" fmlaLink="NeoBerLab!G16" lockText="1"/>
</file>

<file path=xl/ctrlProps/ctrlProp1014.xml><?xml version="1.0" encoding="utf-8"?>
<formControlPr xmlns="http://schemas.microsoft.com/office/spreadsheetml/2009/9/main" objectType="CheckBox" fmlaLink="NeoBerLab!G19" lockText="1"/>
</file>

<file path=xl/ctrlProps/ctrlProp1015.xml><?xml version="1.0" encoding="utf-8"?>
<formControlPr xmlns="http://schemas.microsoft.com/office/spreadsheetml/2009/9/main" objectType="CheckBox" fmlaLink="NeoBerLab!G20" lockText="1"/>
</file>

<file path=xl/ctrlProps/ctrlProp1016.xml><?xml version="1.0" encoding="utf-8"?>
<formControlPr xmlns="http://schemas.microsoft.com/office/spreadsheetml/2009/9/main" objectType="CheckBox" fmlaLink="NeoBerLab!G21" lockText="1"/>
</file>

<file path=xl/ctrlProps/ctrlProp1017.xml><?xml version="1.0" encoding="utf-8"?>
<formControlPr xmlns="http://schemas.microsoft.com/office/spreadsheetml/2009/9/main" objectType="CheckBox" fmlaLink="NeoBerLab!G12" lockText="1"/>
</file>

<file path=xl/ctrlProps/ctrlProp1018.xml><?xml version="1.0" encoding="utf-8"?>
<formControlPr xmlns="http://schemas.microsoft.com/office/spreadsheetml/2009/9/main" objectType="CheckBox" fmlaLink="NeoBerLab!G28" lockText="1"/>
</file>

<file path=xl/ctrlProps/ctrlProp1019.xml><?xml version="1.0" encoding="utf-8"?>
<formControlPr xmlns="http://schemas.microsoft.com/office/spreadsheetml/2009/9/main" objectType="CheckBox" fmlaLink="NeoBerLab!$I$4" lockText="1"/>
</file>

<file path=xl/ctrlProps/ctrlProp1020.xml><?xml version="1.0" encoding="utf-8"?>
<formControlPr xmlns="http://schemas.microsoft.com/office/spreadsheetml/2009/9/main" objectType="CheckBox" fmlaLink="NeoBerLab!I5" lockText="1"/>
</file>

<file path=xl/ctrlProps/ctrlProp1021.xml><?xml version="1.0" encoding="utf-8"?>
<formControlPr xmlns="http://schemas.microsoft.com/office/spreadsheetml/2009/9/main" objectType="CheckBox" fmlaLink="NeoBerLab!I7" lockText="1"/>
</file>

<file path=xl/ctrlProps/ctrlProp1022.xml><?xml version="1.0" encoding="utf-8"?>
<formControlPr xmlns="http://schemas.microsoft.com/office/spreadsheetml/2009/9/main" objectType="CheckBox" fmlaLink="NeoBerLab!I8" lockText="1"/>
</file>

<file path=xl/ctrlProps/ctrlProp1023.xml><?xml version="1.0" encoding="utf-8"?>
<formControlPr xmlns="http://schemas.microsoft.com/office/spreadsheetml/2009/9/main" objectType="CheckBox" fmlaLink="NeoBerLab!I14" lockText="1"/>
</file>

<file path=xl/ctrlProps/ctrlProp1024.xml><?xml version="1.0" encoding="utf-8"?>
<formControlPr xmlns="http://schemas.microsoft.com/office/spreadsheetml/2009/9/main" objectType="CheckBox" fmlaLink="NeoBerLab!I13" lockText="1"/>
</file>

<file path=xl/ctrlProps/ctrlProp1025.xml><?xml version="1.0" encoding="utf-8"?>
<formControlPr xmlns="http://schemas.microsoft.com/office/spreadsheetml/2009/9/main" objectType="CheckBox" fmlaLink="NeoBerLab!I30" lockText="1"/>
</file>

<file path=xl/ctrlProps/ctrlProp1026.xml><?xml version="1.0" encoding="utf-8"?>
<formControlPr xmlns="http://schemas.microsoft.com/office/spreadsheetml/2009/9/main" objectType="CheckBox" fmlaLink="NeoBerLab!I16" lockText="1"/>
</file>

<file path=xl/ctrlProps/ctrlProp1027.xml><?xml version="1.0" encoding="utf-8"?>
<formControlPr xmlns="http://schemas.microsoft.com/office/spreadsheetml/2009/9/main" objectType="CheckBox" fmlaLink="NeoBerLab!I19" lockText="1"/>
</file>

<file path=xl/ctrlProps/ctrlProp1028.xml><?xml version="1.0" encoding="utf-8"?>
<formControlPr xmlns="http://schemas.microsoft.com/office/spreadsheetml/2009/9/main" objectType="CheckBox" fmlaLink="NeoBerLab!I20" lockText="1"/>
</file>

<file path=xl/ctrlProps/ctrlProp1029.xml><?xml version="1.0" encoding="utf-8"?>
<formControlPr xmlns="http://schemas.microsoft.com/office/spreadsheetml/2009/9/main" objectType="CheckBox" fmlaLink="NeoBerLab!I21" lockText="1"/>
</file>

<file path=xl/ctrlProps/ctrlProp1030.xml><?xml version="1.0" encoding="utf-8"?>
<formControlPr xmlns="http://schemas.microsoft.com/office/spreadsheetml/2009/9/main" objectType="CheckBox" fmlaLink="NeoBerLab!I12" lockText="1"/>
</file>

<file path=xl/ctrlProps/ctrlProp1031.xml><?xml version="1.0" encoding="utf-8"?>
<formControlPr xmlns="http://schemas.microsoft.com/office/spreadsheetml/2009/9/main" objectType="CheckBox" fmlaLink="NeoBerLab!I28" lockText="1"/>
</file>

<file path=xl/ctrlProps/ctrlProp1032.xml><?xml version="1.0" encoding="utf-8"?>
<formControlPr xmlns="http://schemas.microsoft.com/office/spreadsheetml/2009/9/main" objectType="CheckBox" fmlaLink="NeoBerLab!$O$4" lockText="1"/>
</file>

<file path=xl/ctrlProps/ctrlProp1033.xml><?xml version="1.0" encoding="utf-8"?>
<formControlPr xmlns="http://schemas.microsoft.com/office/spreadsheetml/2009/9/main" objectType="CheckBox" fmlaLink="NeoBerLab!O5" lockText="1"/>
</file>

<file path=xl/ctrlProps/ctrlProp1034.xml><?xml version="1.0" encoding="utf-8"?>
<formControlPr xmlns="http://schemas.microsoft.com/office/spreadsheetml/2009/9/main" objectType="CheckBox" fmlaLink="NeoBerLab!O7" lockText="1"/>
</file>

<file path=xl/ctrlProps/ctrlProp1035.xml><?xml version="1.0" encoding="utf-8"?>
<formControlPr xmlns="http://schemas.microsoft.com/office/spreadsheetml/2009/9/main" objectType="CheckBox" fmlaLink="NeoBerLab!O8" lockText="1"/>
</file>

<file path=xl/ctrlProps/ctrlProp1036.xml><?xml version="1.0" encoding="utf-8"?>
<formControlPr xmlns="http://schemas.microsoft.com/office/spreadsheetml/2009/9/main" objectType="CheckBox" fmlaLink="NeoBerLab!O14" lockText="1"/>
</file>

<file path=xl/ctrlProps/ctrlProp1037.xml><?xml version="1.0" encoding="utf-8"?>
<formControlPr xmlns="http://schemas.microsoft.com/office/spreadsheetml/2009/9/main" objectType="CheckBox" fmlaLink="NeoBerLab!O13" lockText="1"/>
</file>

<file path=xl/ctrlProps/ctrlProp1038.xml><?xml version="1.0" encoding="utf-8"?>
<formControlPr xmlns="http://schemas.microsoft.com/office/spreadsheetml/2009/9/main" objectType="CheckBox" fmlaLink="NeoBerLab!O30" lockText="1"/>
</file>

<file path=xl/ctrlProps/ctrlProp1039.xml><?xml version="1.0" encoding="utf-8"?>
<formControlPr xmlns="http://schemas.microsoft.com/office/spreadsheetml/2009/9/main" objectType="CheckBox" fmlaLink="NeoBerLab!O16" lockText="1"/>
</file>

<file path=xl/ctrlProps/ctrlProp1040.xml><?xml version="1.0" encoding="utf-8"?>
<formControlPr xmlns="http://schemas.microsoft.com/office/spreadsheetml/2009/9/main" objectType="CheckBox" fmlaLink="NeoBerLab!O19" lockText="1"/>
</file>

<file path=xl/ctrlProps/ctrlProp1041.xml><?xml version="1.0" encoding="utf-8"?>
<formControlPr xmlns="http://schemas.microsoft.com/office/spreadsheetml/2009/9/main" objectType="CheckBox" fmlaLink="NeoBerLab!O20" lockText="1"/>
</file>

<file path=xl/ctrlProps/ctrlProp1042.xml><?xml version="1.0" encoding="utf-8"?>
<formControlPr xmlns="http://schemas.microsoft.com/office/spreadsheetml/2009/9/main" objectType="CheckBox" fmlaLink="NeoBerLab!O21" lockText="1"/>
</file>

<file path=xl/ctrlProps/ctrlProp1043.xml><?xml version="1.0" encoding="utf-8"?>
<formControlPr xmlns="http://schemas.microsoft.com/office/spreadsheetml/2009/9/main" objectType="CheckBox" fmlaLink="NeoBerLab!O12" lockText="1"/>
</file>

<file path=xl/ctrlProps/ctrlProp1044.xml><?xml version="1.0" encoding="utf-8"?>
<formControlPr xmlns="http://schemas.microsoft.com/office/spreadsheetml/2009/9/main" objectType="CheckBox" fmlaLink="NeoBerLab!O28" lockText="1"/>
</file>

<file path=xl/ctrlProps/ctrlProp1045.xml><?xml version="1.0" encoding="utf-8"?>
<formControlPr xmlns="http://schemas.microsoft.com/office/spreadsheetml/2009/9/main" objectType="CheckBox" fmlaLink="NeoBerLab!C32" lockText="1"/>
</file>

<file path=xl/ctrlProps/ctrlProp1046.xml><?xml version="1.0" encoding="utf-8"?>
<formControlPr xmlns="http://schemas.microsoft.com/office/spreadsheetml/2009/9/main" objectType="CheckBox" fmlaLink="NeoBerLab!G32" lockText="1"/>
</file>

<file path=xl/ctrlProps/ctrlProp1047.xml><?xml version="1.0" encoding="utf-8"?>
<formControlPr xmlns="http://schemas.microsoft.com/office/spreadsheetml/2009/9/main" objectType="CheckBox" fmlaLink="NeoBerLab!I32" lockText="1"/>
</file>

<file path=xl/ctrlProps/ctrlProp1048.xml><?xml version="1.0" encoding="utf-8"?>
<formControlPr xmlns="http://schemas.microsoft.com/office/spreadsheetml/2009/9/main" objectType="CheckBox" fmlaLink="NeoBerLab!O32" lockText="1"/>
</file>

<file path=xl/ctrlProps/ctrlProp1049.xml><?xml version="1.0" encoding="utf-8"?>
<formControlPr xmlns="http://schemas.microsoft.com/office/spreadsheetml/2009/9/main" objectType="CheckBox" fmlaLink="NeoBerLab!C6" lockText="1"/>
</file>

<file path=xl/ctrlProps/ctrlProp1050.xml><?xml version="1.0" encoding="utf-8"?>
<formControlPr xmlns="http://schemas.microsoft.com/office/spreadsheetml/2009/9/main" objectType="CheckBox" fmlaLink="NeoBerLab!G6" lockText="1"/>
</file>

<file path=xl/ctrlProps/ctrlProp1051.xml><?xml version="1.0" encoding="utf-8"?>
<formControlPr xmlns="http://schemas.microsoft.com/office/spreadsheetml/2009/9/main" objectType="CheckBox" fmlaLink="NeoBerLab!I6" lockText="1"/>
</file>

<file path=xl/ctrlProps/ctrlProp1052.xml><?xml version="1.0" encoding="utf-8"?>
<formControlPr xmlns="http://schemas.microsoft.com/office/spreadsheetml/2009/9/main" objectType="CheckBox" fmlaLink="NeoBerLab!O6" lockText="1"/>
</file>

<file path=xl/ctrlProps/ctrlProp1053.xml><?xml version="1.0" encoding="utf-8"?>
<formControlPr xmlns="http://schemas.microsoft.com/office/spreadsheetml/2009/9/main" objectType="CheckBox" fmlaLink="NeoBerLab!C17" lockText="1"/>
</file>

<file path=xl/ctrlProps/ctrlProp1054.xml><?xml version="1.0" encoding="utf-8"?>
<formControlPr xmlns="http://schemas.microsoft.com/office/spreadsheetml/2009/9/main" objectType="CheckBox" fmlaLink="NeoBerLab!G17" lockText="1"/>
</file>

<file path=xl/ctrlProps/ctrlProp1055.xml><?xml version="1.0" encoding="utf-8"?>
<formControlPr xmlns="http://schemas.microsoft.com/office/spreadsheetml/2009/9/main" objectType="CheckBox" fmlaLink="NeoBerLab!I17" lockText="1"/>
</file>

<file path=xl/ctrlProps/ctrlProp1056.xml><?xml version="1.0" encoding="utf-8"?>
<formControlPr xmlns="http://schemas.microsoft.com/office/spreadsheetml/2009/9/main" objectType="CheckBox" fmlaLink="NeoBerLab!O17" lockText="1"/>
</file>

<file path=xl/ctrlProps/ctrlProp1057.xml><?xml version="1.0" encoding="utf-8"?>
<formControlPr xmlns="http://schemas.microsoft.com/office/spreadsheetml/2009/9/main" objectType="CheckBox" fmlaLink="NeoBerLab!$E$4" lockText="1"/>
</file>

<file path=xl/ctrlProps/ctrlProp1058.xml><?xml version="1.0" encoding="utf-8"?>
<formControlPr xmlns="http://schemas.microsoft.com/office/spreadsheetml/2009/9/main" objectType="CheckBox" fmlaLink="NeoBerLab!E5" lockText="1"/>
</file>

<file path=xl/ctrlProps/ctrlProp1059.xml><?xml version="1.0" encoding="utf-8"?>
<formControlPr xmlns="http://schemas.microsoft.com/office/spreadsheetml/2009/9/main" objectType="CheckBox" fmlaLink="NeoBerLab!E7" lockText="1"/>
</file>

<file path=xl/ctrlProps/ctrlProp1060.xml><?xml version="1.0" encoding="utf-8"?>
<formControlPr xmlns="http://schemas.microsoft.com/office/spreadsheetml/2009/9/main" objectType="CheckBox" fmlaLink="NeoBerLab!E8" lockText="1"/>
</file>

<file path=xl/ctrlProps/ctrlProp1061.xml><?xml version="1.0" encoding="utf-8"?>
<formControlPr xmlns="http://schemas.microsoft.com/office/spreadsheetml/2009/9/main" objectType="CheckBox" fmlaLink="NeoBerLab!E14" lockText="1"/>
</file>

<file path=xl/ctrlProps/ctrlProp1062.xml><?xml version="1.0" encoding="utf-8"?>
<formControlPr xmlns="http://schemas.microsoft.com/office/spreadsheetml/2009/9/main" objectType="CheckBox" fmlaLink="NeoBerLab!E13" lockText="1"/>
</file>

<file path=xl/ctrlProps/ctrlProp1063.xml><?xml version="1.0" encoding="utf-8"?>
<formControlPr xmlns="http://schemas.microsoft.com/office/spreadsheetml/2009/9/main" objectType="CheckBox" fmlaLink="NeoBerLab!E30" lockText="1"/>
</file>

<file path=xl/ctrlProps/ctrlProp1064.xml><?xml version="1.0" encoding="utf-8"?>
<formControlPr xmlns="http://schemas.microsoft.com/office/spreadsheetml/2009/9/main" objectType="CheckBox" fmlaLink="NeoBerLab!E16" lockText="1"/>
</file>

<file path=xl/ctrlProps/ctrlProp1065.xml><?xml version="1.0" encoding="utf-8"?>
<formControlPr xmlns="http://schemas.microsoft.com/office/spreadsheetml/2009/9/main" objectType="CheckBox" fmlaLink="NeoBerLab!E19" lockText="1"/>
</file>

<file path=xl/ctrlProps/ctrlProp1066.xml><?xml version="1.0" encoding="utf-8"?>
<formControlPr xmlns="http://schemas.microsoft.com/office/spreadsheetml/2009/9/main" objectType="CheckBox" fmlaLink="NeoBerLab!E20" lockText="1"/>
</file>

<file path=xl/ctrlProps/ctrlProp1067.xml><?xml version="1.0" encoding="utf-8"?>
<formControlPr xmlns="http://schemas.microsoft.com/office/spreadsheetml/2009/9/main" objectType="CheckBox" fmlaLink="NeoBerLab!E21" lockText="1"/>
</file>

<file path=xl/ctrlProps/ctrlProp1068.xml><?xml version="1.0" encoding="utf-8"?>
<formControlPr xmlns="http://schemas.microsoft.com/office/spreadsheetml/2009/9/main" objectType="CheckBox" fmlaLink="NeoBerLab!E12" lockText="1"/>
</file>

<file path=xl/ctrlProps/ctrlProp1069.xml><?xml version="1.0" encoding="utf-8"?>
<formControlPr xmlns="http://schemas.microsoft.com/office/spreadsheetml/2009/9/main" objectType="CheckBox" fmlaLink="NeoBerLab!E28" lockText="1"/>
</file>

<file path=xl/ctrlProps/ctrlProp1070.xml><?xml version="1.0" encoding="utf-8"?>
<formControlPr xmlns="http://schemas.microsoft.com/office/spreadsheetml/2009/9/main" objectType="CheckBox" fmlaLink="NeoBerLab!E32" lockText="1"/>
</file>

<file path=xl/ctrlProps/ctrlProp1071.xml><?xml version="1.0" encoding="utf-8"?>
<formControlPr xmlns="http://schemas.microsoft.com/office/spreadsheetml/2009/9/main" objectType="CheckBox" fmlaLink="NeoBerLab!E6" lockText="1"/>
</file>

<file path=xl/ctrlProps/ctrlProp1072.xml><?xml version="1.0" encoding="utf-8"?>
<formControlPr xmlns="http://schemas.microsoft.com/office/spreadsheetml/2009/9/main" objectType="CheckBox" fmlaLink="NeoBerLab!E17" lockText="1"/>
</file>

<file path=xl/ctrlProps/ctrlProp1073.xml><?xml version="1.0" encoding="utf-8"?>
<formControlPr xmlns="http://schemas.microsoft.com/office/spreadsheetml/2009/9/main" objectType="CheckBox" fmlaLink="NeoBerLab!C33" lockText="1"/>
</file>

<file path=xl/ctrlProps/ctrlProp1074.xml><?xml version="1.0" encoding="utf-8"?>
<formControlPr xmlns="http://schemas.microsoft.com/office/spreadsheetml/2009/9/main" objectType="CheckBox" fmlaLink="NeoBerLab!G33" lockText="1"/>
</file>

<file path=xl/ctrlProps/ctrlProp1075.xml><?xml version="1.0" encoding="utf-8"?>
<formControlPr xmlns="http://schemas.microsoft.com/office/spreadsheetml/2009/9/main" objectType="CheckBox" fmlaLink="NeoBerLab!I33" lockText="1"/>
</file>

<file path=xl/ctrlProps/ctrlProp1076.xml><?xml version="1.0" encoding="utf-8"?>
<formControlPr xmlns="http://schemas.microsoft.com/office/spreadsheetml/2009/9/main" objectType="CheckBox" fmlaLink="NeoBerLab!O33" lockText="1"/>
</file>

<file path=xl/ctrlProps/ctrlProp1077.xml><?xml version="1.0" encoding="utf-8"?>
<formControlPr xmlns="http://schemas.microsoft.com/office/spreadsheetml/2009/9/main" objectType="CheckBox" fmlaLink="NeoBerLab!E33" lockText="1"/>
</file>

<file path=xl/ctrlProps/ctrlProp1078.xml><?xml version="1.0" encoding="utf-8"?>
<formControlPr xmlns="http://schemas.microsoft.com/office/spreadsheetml/2009/9/main" objectType="CheckBox" fmlaLink="NeoBerLab!C34" lockText="1"/>
</file>

<file path=xl/ctrlProps/ctrlProp1079.xml><?xml version="1.0" encoding="utf-8"?>
<formControlPr xmlns="http://schemas.microsoft.com/office/spreadsheetml/2009/9/main" objectType="CheckBox" fmlaLink="NeoBerLab!G34" lockText="1"/>
</file>

<file path=xl/ctrlProps/ctrlProp1080.xml><?xml version="1.0" encoding="utf-8"?>
<formControlPr xmlns="http://schemas.microsoft.com/office/spreadsheetml/2009/9/main" objectType="CheckBox" fmlaLink="NeoBerLab!I34" lockText="1"/>
</file>

<file path=xl/ctrlProps/ctrlProp1081.xml><?xml version="1.0" encoding="utf-8"?>
<formControlPr xmlns="http://schemas.microsoft.com/office/spreadsheetml/2009/9/main" objectType="CheckBox" fmlaLink="NeoBerLab!O34" lockText="1"/>
</file>

<file path=xl/ctrlProps/ctrlProp1082.xml><?xml version="1.0" encoding="utf-8"?>
<formControlPr xmlns="http://schemas.microsoft.com/office/spreadsheetml/2009/9/main" objectType="CheckBox" fmlaLink="NeoBerLab!E34" lockText="1"/>
</file>

<file path=xl/ctrlProps/ctrlProp1083.xml><?xml version="1.0" encoding="utf-8"?>
<formControlPr xmlns="http://schemas.microsoft.com/office/spreadsheetml/2009/9/main" objectType="CheckBox" fmlaLink="NeoBerLab!C9" lockText="1"/>
</file>

<file path=xl/ctrlProps/ctrlProp1084.xml><?xml version="1.0" encoding="utf-8"?>
<formControlPr xmlns="http://schemas.microsoft.com/office/spreadsheetml/2009/9/main" objectType="CheckBox" fmlaLink="NeoBerLab!G9" lockText="1"/>
</file>

<file path=xl/ctrlProps/ctrlProp1085.xml><?xml version="1.0" encoding="utf-8"?>
<formControlPr xmlns="http://schemas.microsoft.com/office/spreadsheetml/2009/9/main" objectType="CheckBox" fmlaLink="NeoBerLab!I9" lockText="1"/>
</file>

<file path=xl/ctrlProps/ctrlProp1086.xml><?xml version="1.0" encoding="utf-8"?>
<formControlPr xmlns="http://schemas.microsoft.com/office/spreadsheetml/2009/9/main" objectType="CheckBox" fmlaLink="NeoBerLab!O9" lockText="1"/>
</file>

<file path=xl/ctrlProps/ctrlProp1087.xml><?xml version="1.0" encoding="utf-8"?>
<formControlPr xmlns="http://schemas.microsoft.com/office/spreadsheetml/2009/9/main" objectType="CheckBox" fmlaLink="NeoBerLab!E9" lockText="1"/>
</file>

<file path=xl/ctrlProps/ctrlProp1088.xml><?xml version="1.0" encoding="utf-8"?>
<formControlPr xmlns="http://schemas.microsoft.com/office/spreadsheetml/2009/9/main" objectType="CheckBox" fmlaLink="NeoBerLab!C11" lockText="1"/>
</file>

<file path=xl/ctrlProps/ctrlProp1089.xml><?xml version="1.0" encoding="utf-8"?>
<formControlPr xmlns="http://schemas.microsoft.com/office/spreadsheetml/2009/9/main" objectType="CheckBox" fmlaLink="NeoBerLab!G11" lockText="1"/>
</file>

<file path=xl/ctrlProps/ctrlProp1090.xml><?xml version="1.0" encoding="utf-8"?>
<formControlPr xmlns="http://schemas.microsoft.com/office/spreadsheetml/2009/9/main" objectType="CheckBox" fmlaLink="NeoBerLab!I11" lockText="1"/>
</file>

<file path=xl/ctrlProps/ctrlProp1091.xml><?xml version="1.0" encoding="utf-8"?>
<formControlPr xmlns="http://schemas.microsoft.com/office/spreadsheetml/2009/9/main" objectType="CheckBox" fmlaLink="NeoBerLab!O11" lockText="1"/>
</file>

<file path=xl/ctrlProps/ctrlProp1092.xml><?xml version="1.0" encoding="utf-8"?>
<formControlPr xmlns="http://schemas.microsoft.com/office/spreadsheetml/2009/9/main" objectType="CheckBox" fmlaLink="NeoBerLab!E11" lockText="1"/>
</file>

<file path=xl/ctrlProps/ctrlProp1093.xml><?xml version="1.0" encoding="utf-8"?>
<formControlPr xmlns="http://schemas.microsoft.com/office/spreadsheetml/2009/9/main" objectType="CheckBox" fmlaLink="NeoBerLab!C15" lockText="1"/>
</file>

<file path=xl/ctrlProps/ctrlProp1094.xml><?xml version="1.0" encoding="utf-8"?>
<formControlPr xmlns="http://schemas.microsoft.com/office/spreadsheetml/2009/9/main" objectType="CheckBox" fmlaLink="NeoBerLab!G15" lockText="1"/>
</file>

<file path=xl/ctrlProps/ctrlProp1095.xml><?xml version="1.0" encoding="utf-8"?>
<formControlPr xmlns="http://schemas.microsoft.com/office/spreadsheetml/2009/9/main" objectType="CheckBox" fmlaLink="NeoBerLab!I15" lockText="1"/>
</file>

<file path=xl/ctrlProps/ctrlProp1096.xml><?xml version="1.0" encoding="utf-8"?>
<formControlPr xmlns="http://schemas.microsoft.com/office/spreadsheetml/2009/9/main" objectType="CheckBox" fmlaLink="NeoBerLab!O15" lockText="1"/>
</file>

<file path=xl/ctrlProps/ctrlProp1097.xml><?xml version="1.0" encoding="utf-8"?>
<formControlPr xmlns="http://schemas.microsoft.com/office/spreadsheetml/2009/9/main" objectType="CheckBox" fmlaLink="NeoBerLab!E15" lockText="1"/>
</file>

<file path=xl/ctrlProps/ctrlProp1098.xml><?xml version="1.0" encoding="utf-8"?>
<formControlPr xmlns="http://schemas.microsoft.com/office/spreadsheetml/2009/9/main" objectType="CheckBox" fmlaLink="NeoBerLab!C22" lockText="1"/>
</file>

<file path=xl/ctrlProps/ctrlProp1099.xml><?xml version="1.0" encoding="utf-8"?>
<formControlPr xmlns="http://schemas.microsoft.com/office/spreadsheetml/2009/9/main" objectType="CheckBox" fmlaLink="NeoBerLab!G22" lockText="1"/>
</file>

<file path=xl/ctrlProps/ctrlProp1100.xml><?xml version="1.0" encoding="utf-8"?>
<formControlPr xmlns="http://schemas.microsoft.com/office/spreadsheetml/2009/9/main" objectType="CheckBox" fmlaLink="NeoBerLab!I22" lockText="1"/>
</file>

<file path=xl/ctrlProps/ctrlProp1101.xml><?xml version="1.0" encoding="utf-8"?>
<formControlPr xmlns="http://schemas.microsoft.com/office/spreadsheetml/2009/9/main" objectType="CheckBox" fmlaLink="NeoBerLab!O22" lockText="1"/>
</file>

<file path=xl/ctrlProps/ctrlProp1102.xml><?xml version="1.0" encoding="utf-8"?>
<formControlPr xmlns="http://schemas.microsoft.com/office/spreadsheetml/2009/9/main" objectType="CheckBox" fmlaLink="NeoBerLab!E22" lockText="1"/>
</file>

<file path=xl/ctrlProps/ctrlProp1103.xml><?xml version="1.0" encoding="utf-8"?>
<formControlPr xmlns="http://schemas.microsoft.com/office/spreadsheetml/2009/9/main" objectType="CheckBox" fmlaLink="NeoBerLab!C23" lockText="1"/>
</file>

<file path=xl/ctrlProps/ctrlProp1104.xml><?xml version="1.0" encoding="utf-8"?>
<formControlPr xmlns="http://schemas.microsoft.com/office/spreadsheetml/2009/9/main" objectType="CheckBox" fmlaLink="NeoBerLab!G23" lockText="1"/>
</file>

<file path=xl/ctrlProps/ctrlProp1105.xml><?xml version="1.0" encoding="utf-8"?>
<formControlPr xmlns="http://schemas.microsoft.com/office/spreadsheetml/2009/9/main" objectType="CheckBox" fmlaLink="NeoBerLab!I23" lockText="1"/>
</file>

<file path=xl/ctrlProps/ctrlProp1106.xml><?xml version="1.0" encoding="utf-8"?>
<formControlPr xmlns="http://schemas.microsoft.com/office/spreadsheetml/2009/9/main" objectType="CheckBox" fmlaLink="NeoBerLab!O23" lockText="1"/>
</file>

<file path=xl/ctrlProps/ctrlProp1107.xml><?xml version="1.0" encoding="utf-8"?>
<formControlPr xmlns="http://schemas.microsoft.com/office/spreadsheetml/2009/9/main" objectType="CheckBox" fmlaLink="NeoBerLab!E23" lockText="1"/>
</file>

<file path=xl/ctrlProps/ctrlProp1108.xml><?xml version="1.0" encoding="utf-8"?>
<formControlPr xmlns="http://schemas.microsoft.com/office/spreadsheetml/2009/9/main" objectType="CheckBox" fmlaLink="NeoBerLab!C24" lockText="1"/>
</file>

<file path=xl/ctrlProps/ctrlProp1109.xml><?xml version="1.0" encoding="utf-8"?>
<formControlPr xmlns="http://schemas.microsoft.com/office/spreadsheetml/2009/9/main" objectType="CheckBox" fmlaLink="NeoBerLab!G24" lockText="1"/>
</file>

<file path=xl/ctrlProps/ctrlProp1110.xml><?xml version="1.0" encoding="utf-8"?>
<formControlPr xmlns="http://schemas.microsoft.com/office/spreadsheetml/2009/9/main" objectType="CheckBox" fmlaLink="NeoBerLab!I24" lockText="1"/>
</file>

<file path=xl/ctrlProps/ctrlProp1111.xml><?xml version="1.0" encoding="utf-8"?>
<formControlPr xmlns="http://schemas.microsoft.com/office/spreadsheetml/2009/9/main" objectType="CheckBox" fmlaLink="NeoBerLab!O24" lockText="1"/>
</file>

<file path=xl/ctrlProps/ctrlProp1112.xml><?xml version="1.0" encoding="utf-8"?>
<formControlPr xmlns="http://schemas.microsoft.com/office/spreadsheetml/2009/9/main" objectType="CheckBox" fmlaLink="NeoBerLab!E24" lockText="1"/>
</file>

<file path=xl/ctrlProps/ctrlProp1113.xml><?xml version="1.0" encoding="utf-8"?>
<formControlPr xmlns="http://schemas.microsoft.com/office/spreadsheetml/2009/9/main" objectType="CheckBox" fmlaLink="NeoBerLab!C25" lockText="1"/>
</file>

<file path=xl/ctrlProps/ctrlProp1114.xml><?xml version="1.0" encoding="utf-8"?>
<formControlPr xmlns="http://schemas.microsoft.com/office/spreadsheetml/2009/9/main" objectType="CheckBox" fmlaLink="NeoBerLab!G25" lockText="1"/>
</file>

<file path=xl/ctrlProps/ctrlProp1115.xml><?xml version="1.0" encoding="utf-8"?>
<formControlPr xmlns="http://schemas.microsoft.com/office/spreadsheetml/2009/9/main" objectType="CheckBox" fmlaLink="NeoBerLab!I25" lockText="1"/>
</file>

<file path=xl/ctrlProps/ctrlProp1116.xml><?xml version="1.0" encoding="utf-8"?>
<formControlPr xmlns="http://schemas.microsoft.com/office/spreadsheetml/2009/9/main" objectType="CheckBox" fmlaLink="NeoBerLab!O25" lockText="1"/>
</file>

<file path=xl/ctrlProps/ctrlProp1117.xml><?xml version="1.0" encoding="utf-8"?>
<formControlPr xmlns="http://schemas.microsoft.com/office/spreadsheetml/2009/9/main" objectType="CheckBox" fmlaLink="NeoBerLab!E25" lockText="1"/>
</file>

<file path=xl/ctrlProps/ctrlProp1118.xml><?xml version="1.0" encoding="utf-8"?>
<formControlPr xmlns="http://schemas.microsoft.com/office/spreadsheetml/2009/9/main" objectType="CheckBox" fmlaLink="NeoBerLab!C26" lockText="1"/>
</file>

<file path=xl/ctrlProps/ctrlProp1119.xml><?xml version="1.0" encoding="utf-8"?>
<formControlPr xmlns="http://schemas.microsoft.com/office/spreadsheetml/2009/9/main" objectType="CheckBox" fmlaLink="NeoBerLab!G26" lockText="1"/>
</file>

<file path=xl/ctrlProps/ctrlProp1120.xml><?xml version="1.0" encoding="utf-8"?>
<formControlPr xmlns="http://schemas.microsoft.com/office/spreadsheetml/2009/9/main" objectType="CheckBox" fmlaLink="NeoBerLab!I26" lockText="1"/>
</file>

<file path=xl/ctrlProps/ctrlProp1121.xml><?xml version="1.0" encoding="utf-8"?>
<formControlPr xmlns="http://schemas.microsoft.com/office/spreadsheetml/2009/9/main" objectType="CheckBox" fmlaLink="NeoBerLab!O26" lockText="1"/>
</file>

<file path=xl/ctrlProps/ctrlProp1122.xml><?xml version="1.0" encoding="utf-8"?>
<formControlPr xmlns="http://schemas.microsoft.com/office/spreadsheetml/2009/9/main" objectType="CheckBox" fmlaLink="NeoBerLab!E26" lockText="1"/>
</file>

<file path=xl/ctrlProps/ctrlProp1123.xml><?xml version="1.0" encoding="utf-8"?>
<formControlPr xmlns="http://schemas.microsoft.com/office/spreadsheetml/2009/9/main" objectType="CheckBox" fmlaLink="NeoBerLab!C29" lockText="1"/>
</file>

<file path=xl/ctrlProps/ctrlProp1124.xml><?xml version="1.0" encoding="utf-8"?>
<formControlPr xmlns="http://schemas.microsoft.com/office/spreadsheetml/2009/9/main" objectType="CheckBox" fmlaLink="NeoBerLab!G29" lockText="1"/>
</file>

<file path=xl/ctrlProps/ctrlProp1125.xml><?xml version="1.0" encoding="utf-8"?>
<formControlPr xmlns="http://schemas.microsoft.com/office/spreadsheetml/2009/9/main" objectType="CheckBox" fmlaLink="NeoBerLab!I29" lockText="1"/>
</file>

<file path=xl/ctrlProps/ctrlProp1126.xml><?xml version="1.0" encoding="utf-8"?>
<formControlPr xmlns="http://schemas.microsoft.com/office/spreadsheetml/2009/9/main" objectType="CheckBox" fmlaLink="NeoBerLab!O29" lockText="1"/>
</file>

<file path=xl/ctrlProps/ctrlProp1127.xml><?xml version="1.0" encoding="utf-8"?>
<formControlPr xmlns="http://schemas.microsoft.com/office/spreadsheetml/2009/9/main" objectType="CheckBox" fmlaLink="NeoBerLab!E29" lockText="1"/>
</file>

<file path=xl/ctrlProps/ctrlProp1128.xml><?xml version="1.0" encoding="utf-8"?>
<formControlPr xmlns="http://schemas.microsoft.com/office/spreadsheetml/2009/9/main" objectType="CheckBox" fmlaLink="NeoBerLab!C18" lockText="1"/>
</file>

<file path=xl/ctrlProps/ctrlProp1129.xml><?xml version="1.0" encoding="utf-8"?>
<formControlPr xmlns="http://schemas.microsoft.com/office/spreadsheetml/2009/9/main" objectType="CheckBox" fmlaLink="NeoBerLab!G18" lockText="1"/>
</file>

<file path=xl/ctrlProps/ctrlProp1130.xml><?xml version="1.0" encoding="utf-8"?>
<formControlPr xmlns="http://schemas.microsoft.com/office/spreadsheetml/2009/9/main" objectType="CheckBox" fmlaLink="NeoBerLab!I18" lockText="1"/>
</file>

<file path=xl/ctrlProps/ctrlProp1131.xml><?xml version="1.0" encoding="utf-8"?>
<formControlPr xmlns="http://schemas.microsoft.com/office/spreadsheetml/2009/9/main" objectType="CheckBox" fmlaLink="NeoBerLab!O18" lockText="1"/>
</file>

<file path=xl/ctrlProps/ctrlProp1132.xml><?xml version="1.0" encoding="utf-8"?>
<formControlPr xmlns="http://schemas.microsoft.com/office/spreadsheetml/2009/9/main" objectType="CheckBox" fmlaLink="NeoBerLab!E18" lockText="1"/>
</file>

<file path=xl/ctrlProps/ctrlProp1133.xml><?xml version="1.0" encoding="utf-8"?>
<formControlPr xmlns="http://schemas.microsoft.com/office/spreadsheetml/2009/9/main" objectType="CheckBox" fmlaLink="NeoBerLab!$K$4" lockText="1"/>
</file>

<file path=xl/ctrlProps/ctrlProp1134.xml><?xml version="1.0" encoding="utf-8"?>
<formControlPr xmlns="http://schemas.microsoft.com/office/spreadsheetml/2009/9/main" objectType="CheckBox" fmlaLink="NeoBerLab!K5" lockText="1"/>
</file>

<file path=xl/ctrlProps/ctrlProp1135.xml><?xml version="1.0" encoding="utf-8"?>
<formControlPr xmlns="http://schemas.microsoft.com/office/spreadsheetml/2009/9/main" objectType="CheckBox" fmlaLink="NeoBerLab!K7" lockText="1"/>
</file>

<file path=xl/ctrlProps/ctrlProp1136.xml><?xml version="1.0" encoding="utf-8"?>
<formControlPr xmlns="http://schemas.microsoft.com/office/spreadsheetml/2009/9/main" objectType="CheckBox" fmlaLink="NeoBerLab!K8" lockText="1"/>
</file>

<file path=xl/ctrlProps/ctrlProp1137.xml><?xml version="1.0" encoding="utf-8"?>
<formControlPr xmlns="http://schemas.microsoft.com/office/spreadsheetml/2009/9/main" objectType="CheckBox" fmlaLink="NeoBerLab!K14" lockText="1"/>
</file>

<file path=xl/ctrlProps/ctrlProp1138.xml><?xml version="1.0" encoding="utf-8"?>
<formControlPr xmlns="http://schemas.microsoft.com/office/spreadsheetml/2009/9/main" objectType="CheckBox" fmlaLink="NeoBerLab!K13" lockText="1"/>
</file>

<file path=xl/ctrlProps/ctrlProp1139.xml><?xml version="1.0" encoding="utf-8"?>
<formControlPr xmlns="http://schemas.microsoft.com/office/spreadsheetml/2009/9/main" objectType="CheckBox" fmlaLink="NeoBerLab!K30" lockText="1"/>
</file>

<file path=xl/ctrlProps/ctrlProp1140.xml><?xml version="1.0" encoding="utf-8"?>
<formControlPr xmlns="http://schemas.microsoft.com/office/spreadsheetml/2009/9/main" objectType="CheckBox" fmlaLink="NeoBerLab!K16" lockText="1"/>
</file>

<file path=xl/ctrlProps/ctrlProp1141.xml><?xml version="1.0" encoding="utf-8"?>
<formControlPr xmlns="http://schemas.microsoft.com/office/spreadsheetml/2009/9/main" objectType="CheckBox" fmlaLink="NeoBerLab!K19" lockText="1"/>
</file>

<file path=xl/ctrlProps/ctrlProp1142.xml><?xml version="1.0" encoding="utf-8"?>
<formControlPr xmlns="http://schemas.microsoft.com/office/spreadsheetml/2009/9/main" objectType="CheckBox" fmlaLink="NeoBerLab!K20" lockText="1"/>
</file>

<file path=xl/ctrlProps/ctrlProp1143.xml><?xml version="1.0" encoding="utf-8"?>
<formControlPr xmlns="http://schemas.microsoft.com/office/spreadsheetml/2009/9/main" objectType="CheckBox" fmlaLink="NeoBerLab!K21" lockText="1"/>
</file>

<file path=xl/ctrlProps/ctrlProp1144.xml><?xml version="1.0" encoding="utf-8"?>
<formControlPr xmlns="http://schemas.microsoft.com/office/spreadsheetml/2009/9/main" objectType="CheckBox" fmlaLink="NeoBerLab!K12" lockText="1"/>
</file>

<file path=xl/ctrlProps/ctrlProp1145.xml><?xml version="1.0" encoding="utf-8"?>
<formControlPr xmlns="http://schemas.microsoft.com/office/spreadsheetml/2009/9/main" objectType="CheckBox" fmlaLink="NeoBerLab!K28" lockText="1"/>
</file>

<file path=xl/ctrlProps/ctrlProp1146.xml><?xml version="1.0" encoding="utf-8"?>
<formControlPr xmlns="http://schemas.microsoft.com/office/spreadsheetml/2009/9/main" objectType="CheckBox" fmlaLink="NeoBerLab!$M$4" lockText="1"/>
</file>

<file path=xl/ctrlProps/ctrlProp1147.xml><?xml version="1.0" encoding="utf-8"?>
<formControlPr xmlns="http://schemas.microsoft.com/office/spreadsheetml/2009/9/main" objectType="CheckBox" fmlaLink="NeoBerLab!M5" lockText="1"/>
</file>

<file path=xl/ctrlProps/ctrlProp1148.xml><?xml version="1.0" encoding="utf-8"?>
<formControlPr xmlns="http://schemas.microsoft.com/office/spreadsheetml/2009/9/main" objectType="CheckBox" fmlaLink="NeoBerLab!M7" lockText="1"/>
</file>

<file path=xl/ctrlProps/ctrlProp1149.xml><?xml version="1.0" encoding="utf-8"?>
<formControlPr xmlns="http://schemas.microsoft.com/office/spreadsheetml/2009/9/main" objectType="CheckBox" fmlaLink="NeoBerLab!M8" lockText="1"/>
</file>

<file path=xl/ctrlProps/ctrlProp1150.xml><?xml version="1.0" encoding="utf-8"?>
<formControlPr xmlns="http://schemas.microsoft.com/office/spreadsheetml/2009/9/main" objectType="CheckBox" fmlaLink="NeoBerLab!M14" lockText="1"/>
</file>

<file path=xl/ctrlProps/ctrlProp1151.xml><?xml version="1.0" encoding="utf-8"?>
<formControlPr xmlns="http://schemas.microsoft.com/office/spreadsheetml/2009/9/main" objectType="CheckBox" fmlaLink="NeoBerLab!M13" lockText="1"/>
</file>

<file path=xl/ctrlProps/ctrlProp1152.xml><?xml version="1.0" encoding="utf-8"?>
<formControlPr xmlns="http://schemas.microsoft.com/office/spreadsheetml/2009/9/main" objectType="CheckBox" fmlaLink="NeoBerLab!M30" lockText="1"/>
</file>

<file path=xl/ctrlProps/ctrlProp1153.xml><?xml version="1.0" encoding="utf-8"?>
<formControlPr xmlns="http://schemas.microsoft.com/office/spreadsheetml/2009/9/main" objectType="CheckBox" fmlaLink="NeoBerLab!M16" lockText="1"/>
</file>

<file path=xl/ctrlProps/ctrlProp1154.xml><?xml version="1.0" encoding="utf-8"?>
<formControlPr xmlns="http://schemas.microsoft.com/office/spreadsheetml/2009/9/main" objectType="CheckBox" fmlaLink="NeoBerLab!M19" lockText="1"/>
</file>

<file path=xl/ctrlProps/ctrlProp1155.xml><?xml version="1.0" encoding="utf-8"?>
<formControlPr xmlns="http://schemas.microsoft.com/office/spreadsheetml/2009/9/main" objectType="CheckBox" fmlaLink="NeoBerLab!M20" lockText="1"/>
</file>

<file path=xl/ctrlProps/ctrlProp1156.xml><?xml version="1.0" encoding="utf-8"?>
<formControlPr xmlns="http://schemas.microsoft.com/office/spreadsheetml/2009/9/main" objectType="CheckBox" fmlaLink="NeoBerLab!M21" lockText="1"/>
</file>

<file path=xl/ctrlProps/ctrlProp1157.xml><?xml version="1.0" encoding="utf-8"?>
<formControlPr xmlns="http://schemas.microsoft.com/office/spreadsheetml/2009/9/main" objectType="CheckBox" fmlaLink="NeoBerLab!M12" lockText="1"/>
</file>

<file path=xl/ctrlProps/ctrlProp1158.xml><?xml version="1.0" encoding="utf-8"?>
<formControlPr xmlns="http://schemas.microsoft.com/office/spreadsheetml/2009/9/main" objectType="CheckBox" fmlaLink="NeoBerLab!M28" lockText="1"/>
</file>

<file path=xl/ctrlProps/ctrlProp1159.xml><?xml version="1.0" encoding="utf-8"?>
<formControlPr xmlns="http://schemas.microsoft.com/office/spreadsheetml/2009/9/main" objectType="CheckBox" fmlaLink="NeoBerLab!K32" lockText="1"/>
</file>

<file path=xl/ctrlProps/ctrlProp1160.xml><?xml version="1.0" encoding="utf-8"?>
<formControlPr xmlns="http://schemas.microsoft.com/office/spreadsheetml/2009/9/main" objectType="CheckBox" fmlaLink="NeoBerLab!M32" lockText="1"/>
</file>

<file path=xl/ctrlProps/ctrlProp1161.xml><?xml version="1.0" encoding="utf-8"?>
<formControlPr xmlns="http://schemas.microsoft.com/office/spreadsheetml/2009/9/main" objectType="CheckBox" fmlaLink="NeoBerLab!K6" lockText="1"/>
</file>

<file path=xl/ctrlProps/ctrlProp1162.xml><?xml version="1.0" encoding="utf-8"?>
<formControlPr xmlns="http://schemas.microsoft.com/office/spreadsheetml/2009/9/main" objectType="CheckBox" fmlaLink="NeoBerLab!M6" lockText="1"/>
</file>

<file path=xl/ctrlProps/ctrlProp1163.xml><?xml version="1.0" encoding="utf-8"?>
<formControlPr xmlns="http://schemas.microsoft.com/office/spreadsheetml/2009/9/main" objectType="CheckBox" fmlaLink="NeoBerLab!K17" lockText="1"/>
</file>

<file path=xl/ctrlProps/ctrlProp1164.xml><?xml version="1.0" encoding="utf-8"?>
<formControlPr xmlns="http://schemas.microsoft.com/office/spreadsheetml/2009/9/main" objectType="CheckBox" fmlaLink="NeoBerLab!M17" lockText="1"/>
</file>

<file path=xl/ctrlProps/ctrlProp1165.xml><?xml version="1.0" encoding="utf-8"?>
<formControlPr xmlns="http://schemas.microsoft.com/office/spreadsheetml/2009/9/main" objectType="CheckBox" fmlaLink="NeoBerLab!K33" lockText="1"/>
</file>

<file path=xl/ctrlProps/ctrlProp1166.xml><?xml version="1.0" encoding="utf-8"?>
<formControlPr xmlns="http://schemas.microsoft.com/office/spreadsheetml/2009/9/main" objectType="CheckBox" fmlaLink="NeoBerLab!M33" lockText="1"/>
</file>

<file path=xl/ctrlProps/ctrlProp1167.xml><?xml version="1.0" encoding="utf-8"?>
<formControlPr xmlns="http://schemas.microsoft.com/office/spreadsheetml/2009/9/main" objectType="CheckBox" fmlaLink="NeoBerLab!K34" lockText="1"/>
</file>

<file path=xl/ctrlProps/ctrlProp1168.xml><?xml version="1.0" encoding="utf-8"?>
<formControlPr xmlns="http://schemas.microsoft.com/office/spreadsheetml/2009/9/main" objectType="CheckBox" fmlaLink="NeoBerLab!M34" lockText="1"/>
</file>

<file path=xl/ctrlProps/ctrlProp1169.xml><?xml version="1.0" encoding="utf-8"?>
<formControlPr xmlns="http://schemas.microsoft.com/office/spreadsheetml/2009/9/main" objectType="CheckBox" fmlaLink="NeoBerLab!K9" lockText="1"/>
</file>

<file path=xl/ctrlProps/ctrlProp1170.xml><?xml version="1.0" encoding="utf-8"?>
<formControlPr xmlns="http://schemas.microsoft.com/office/spreadsheetml/2009/9/main" objectType="CheckBox" fmlaLink="NeoBerLab!M9" lockText="1"/>
</file>

<file path=xl/ctrlProps/ctrlProp1171.xml><?xml version="1.0" encoding="utf-8"?>
<formControlPr xmlns="http://schemas.microsoft.com/office/spreadsheetml/2009/9/main" objectType="CheckBox" fmlaLink="NeoBerLab!K11" lockText="1"/>
</file>

<file path=xl/ctrlProps/ctrlProp1172.xml><?xml version="1.0" encoding="utf-8"?>
<formControlPr xmlns="http://schemas.microsoft.com/office/spreadsheetml/2009/9/main" objectType="CheckBox" fmlaLink="NeoBerLab!M11" lockText="1"/>
</file>

<file path=xl/ctrlProps/ctrlProp1173.xml><?xml version="1.0" encoding="utf-8"?>
<formControlPr xmlns="http://schemas.microsoft.com/office/spreadsheetml/2009/9/main" objectType="CheckBox" fmlaLink="NeoBerLab!K15" lockText="1"/>
</file>

<file path=xl/ctrlProps/ctrlProp1174.xml><?xml version="1.0" encoding="utf-8"?>
<formControlPr xmlns="http://schemas.microsoft.com/office/spreadsheetml/2009/9/main" objectType="CheckBox" fmlaLink="NeoBerLab!M15" lockText="1"/>
</file>

<file path=xl/ctrlProps/ctrlProp1175.xml><?xml version="1.0" encoding="utf-8"?>
<formControlPr xmlns="http://schemas.microsoft.com/office/spreadsheetml/2009/9/main" objectType="CheckBox" fmlaLink="NeoBerLab!K22" lockText="1"/>
</file>

<file path=xl/ctrlProps/ctrlProp1176.xml><?xml version="1.0" encoding="utf-8"?>
<formControlPr xmlns="http://schemas.microsoft.com/office/spreadsheetml/2009/9/main" objectType="CheckBox" fmlaLink="NeoBerLab!M22" lockText="1"/>
</file>

<file path=xl/ctrlProps/ctrlProp1177.xml><?xml version="1.0" encoding="utf-8"?>
<formControlPr xmlns="http://schemas.microsoft.com/office/spreadsheetml/2009/9/main" objectType="CheckBox" fmlaLink="NeoBerLab!K23" lockText="1"/>
</file>

<file path=xl/ctrlProps/ctrlProp1178.xml><?xml version="1.0" encoding="utf-8"?>
<formControlPr xmlns="http://schemas.microsoft.com/office/spreadsheetml/2009/9/main" objectType="CheckBox" fmlaLink="NeoBerLab!M23" lockText="1"/>
</file>

<file path=xl/ctrlProps/ctrlProp1179.xml><?xml version="1.0" encoding="utf-8"?>
<formControlPr xmlns="http://schemas.microsoft.com/office/spreadsheetml/2009/9/main" objectType="CheckBox" fmlaLink="NeoBerLab!K24" lockText="1"/>
</file>

<file path=xl/ctrlProps/ctrlProp1180.xml><?xml version="1.0" encoding="utf-8"?>
<formControlPr xmlns="http://schemas.microsoft.com/office/spreadsheetml/2009/9/main" objectType="CheckBox" fmlaLink="NeoBerLab!M24" lockText="1"/>
</file>

<file path=xl/ctrlProps/ctrlProp1181.xml><?xml version="1.0" encoding="utf-8"?>
<formControlPr xmlns="http://schemas.microsoft.com/office/spreadsheetml/2009/9/main" objectType="CheckBox" fmlaLink="NeoBerLab!K25" lockText="1"/>
</file>

<file path=xl/ctrlProps/ctrlProp1182.xml><?xml version="1.0" encoding="utf-8"?>
<formControlPr xmlns="http://schemas.microsoft.com/office/spreadsheetml/2009/9/main" objectType="CheckBox" fmlaLink="NeoBerLab!M25" lockText="1"/>
</file>

<file path=xl/ctrlProps/ctrlProp1183.xml><?xml version="1.0" encoding="utf-8"?>
<formControlPr xmlns="http://schemas.microsoft.com/office/spreadsheetml/2009/9/main" objectType="CheckBox" fmlaLink="NeoBerLab!K26" lockText="1"/>
</file>

<file path=xl/ctrlProps/ctrlProp1184.xml><?xml version="1.0" encoding="utf-8"?>
<formControlPr xmlns="http://schemas.microsoft.com/office/spreadsheetml/2009/9/main" objectType="CheckBox" fmlaLink="NeoBerLab!M26" lockText="1"/>
</file>

<file path=xl/ctrlProps/ctrlProp1185.xml><?xml version="1.0" encoding="utf-8"?>
<formControlPr xmlns="http://schemas.microsoft.com/office/spreadsheetml/2009/9/main" objectType="CheckBox" fmlaLink="NeoBerLab!K29" lockText="1"/>
</file>

<file path=xl/ctrlProps/ctrlProp1186.xml><?xml version="1.0" encoding="utf-8"?>
<formControlPr xmlns="http://schemas.microsoft.com/office/spreadsheetml/2009/9/main" objectType="CheckBox" fmlaLink="NeoBerLab!M29" lockText="1"/>
</file>

<file path=xl/ctrlProps/ctrlProp1187.xml><?xml version="1.0" encoding="utf-8"?>
<formControlPr xmlns="http://schemas.microsoft.com/office/spreadsheetml/2009/9/main" objectType="CheckBox" fmlaLink="NeoBerLab!K18" lockText="1"/>
</file>

<file path=xl/ctrlProps/ctrlProp1188.xml><?xml version="1.0" encoding="utf-8"?>
<formControlPr xmlns="http://schemas.microsoft.com/office/spreadsheetml/2009/9/main" objectType="CheckBox" fmlaLink="NeoBerLab!M18" lockText="1"/>
</file>

<file path=xl/ctrlProps/ctrlProp1189.xml><?xml version="1.0" encoding="utf-8"?>
<formControlPr xmlns="http://schemas.microsoft.com/office/spreadsheetml/2009/9/main" objectType="CheckBox" fmlaLink="NeoBerLab!C10" lockText="1"/>
</file>

<file path=xl/ctrlProps/ctrlProp1190.xml><?xml version="1.0" encoding="utf-8"?>
<formControlPr xmlns="http://schemas.microsoft.com/office/spreadsheetml/2009/9/main" objectType="CheckBox" fmlaLink="NeoBerLab!G10" lockText="1"/>
</file>

<file path=xl/ctrlProps/ctrlProp1191.xml><?xml version="1.0" encoding="utf-8"?>
<formControlPr xmlns="http://schemas.microsoft.com/office/spreadsheetml/2009/9/main" objectType="CheckBox" fmlaLink="NeoBerLab!I10" lockText="1"/>
</file>

<file path=xl/ctrlProps/ctrlProp1192.xml><?xml version="1.0" encoding="utf-8"?>
<formControlPr xmlns="http://schemas.microsoft.com/office/spreadsheetml/2009/9/main" objectType="CheckBox" fmlaLink="NeoBerLab!O10" lockText="1"/>
</file>

<file path=xl/ctrlProps/ctrlProp1193.xml><?xml version="1.0" encoding="utf-8"?>
<formControlPr xmlns="http://schemas.microsoft.com/office/spreadsheetml/2009/9/main" objectType="CheckBox" fmlaLink="NeoBerLab!E10" lockText="1"/>
</file>

<file path=xl/ctrlProps/ctrlProp1194.xml><?xml version="1.0" encoding="utf-8"?>
<formControlPr xmlns="http://schemas.microsoft.com/office/spreadsheetml/2009/9/main" objectType="CheckBox" fmlaLink="NeoBerLab!K10" lockText="1"/>
</file>

<file path=xl/ctrlProps/ctrlProp1195.xml><?xml version="1.0" encoding="utf-8"?>
<formControlPr xmlns="http://schemas.microsoft.com/office/spreadsheetml/2009/9/main" objectType="CheckBox" fmlaLink="NeoBerLab!M10" lockText="1"/>
</file>

<file path=xl/ctrlProps/ctrlProp1196.xml><?xml version="1.0" encoding="utf-8"?>
<formControlPr xmlns="http://schemas.microsoft.com/office/spreadsheetml/2009/9/main" objectType="CheckBox" fmlaLink="NeoBerLab!C31" lockText="1"/>
</file>

<file path=xl/ctrlProps/ctrlProp1197.xml><?xml version="1.0" encoding="utf-8"?>
<formControlPr xmlns="http://schemas.microsoft.com/office/spreadsheetml/2009/9/main" objectType="CheckBox" fmlaLink="NeoBerLab!G31" lockText="1"/>
</file>

<file path=xl/ctrlProps/ctrlProp1198.xml><?xml version="1.0" encoding="utf-8"?>
<formControlPr xmlns="http://schemas.microsoft.com/office/spreadsheetml/2009/9/main" objectType="CheckBox" fmlaLink="NeoBerLab!I31" lockText="1"/>
</file>

<file path=xl/ctrlProps/ctrlProp1199.xml><?xml version="1.0" encoding="utf-8"?>
<formControlPr xmlns="http://schemas.microsoft.com/office/spreadsheetml/2009/9/main" objectType="CheckBox" fmlaLink="NeoBerLab!O31" lockText="1"/>
</file>

<file path=xl/ctrlProps/ctrlProp1200.xml><?xml version="1.0" encoding="utf-8"?>
<formControlPr xmlns="http://schemas.microsoft.com/office/spreadsheetml/2009/9/main" objectType="CheckBox" fmlaLink="NeoBerLab!E31" lockText="1"/>
</file>

<file path=xl/ctrlProps/ctrlProp1201.xml><?xml version="1.0" encoding="utf-8"?>
<formControlPr xmlns="http://schemas.microsoft.com/office/spreadsheetml/2009/9/main" objectType="CheckBox" fmlaLink="NeoBerLab!K31" lockText="1"/>
</file>

<file path=xl/ctrlProps/ctrlProp1202.xml><?xml version="1.0" encoding="utf-8"?>
<formControlPr xmlns="http://schemas.microsoft.com/office/spreadsheetml/2009/9/main" objectType="CheckBox" fmlaLink="NeoBerLab!M31" lockText="1"/>
</file>

<file path=xl/ctrlProps/ctrlProp1203.xml><?xml version="1.0" encoding="utf-8"?>
<formControlPr xmlns="http://schemas.microsoft.com/office/spreadsheetml/2009/9/main" objectType="CheckBox" fmlaLink="NeoBerLab!C27" lockText="1"/>
</file>

<file path=xl/ctrlProps/ctrlProp1204.xml><?xml version="1.0" encoding="utf-8"?>
<formControlPr xmlns="http://schemas.microsoft.com/office/spreadsheetml/2009/9/main" objectType="CheckBox" fmlaLink="NeoBerLab!G27" lockText="1"/>
</file>

<file path=xl/ctrlProps/ctrlProp1205.xml><?xml version="1.0" encoding="utf-8"?>
<formControlPr xmlns="http://schemas.microsoft.com/office/spreadsheetml/2009/9/main" objectType="CheckBox" fmlaLink="NeoBerLab!I27" lockText="1"/>
</file>

<file path=xl/ctrlProps/ctrlProp1206.xml><?xml version="1.0" encoding="utf-8"?>
<formControlPr xmlns="http://schemas.microsoft.com/office/spreadsheetml/2009/9/main" objectType="CheckBox" fmlaLink="NeoBerLab!O27" lockText="1"/>
</file>

<file path=xl/ctrlProps/ctrlProp1207.xml><?xml version="1.0" encoding="utf-8"?>
<formControlPr xmlns="http://schemas.microsoft.com/office/spreadsheetml/2009/9/main" objectType="CheckBox" fmlaLink="NeoBerLab!E27" lockText="1"/>
</file>

<file path=xl/ctrlProps/ctrlProp1208.xml><?xml version="1.0" encoding="utf-8"?>
<formControlPr xmlns="http://schemas.microsoft.com/office/spreadsheetml/2009/9/main" objectType="CheckBox" fmlaLink="NeoBerLab!K27" lockText="1"/>
</file>

<file path=xl/ctrlProps/ctrlProp1209.xml><?xml version="1.0" encoding="utf-8"?>
<formControlPr xmlns="http://schemas.microsoft.com/office/spreadsheetml/2009/9/main" objectType="CheckBox" fmlaLink="NeoBerLab!M27" lockText="1"/>
</file>

<file path=xl/ctrlProps/ctrlProp1210.xml><?xml version="1.0" encoding="utf-8"?>
<formControlPr xmlns="http://schemas.microsoft.com/office/spreadsheetml/2009/9/main" objectType="CheckBox" fmlaLink="NeoBerLab!C35" lockText="1"/>
</file>

<file path=xl/ctrlProps/ctrlProp1211.xml><?xml version="1.0" encoding="utf-8"?>
<formControlPr xmlns="http://schemas.microsoft.com/office/spreadsheetml/2009/9/main" objectType="CheckBox" fmlaLink="NeoBerLab!$Q$4" lockText="1"/>
</file>

<file path=xl/ctrlProps/ctrlProp1212.xml><?xml version="1.0" encoding="utf-8"?>
<formControlPr xmlns="http://schemas.microsoft.com/office/spreadsheetml/2009/9/main" objectType="CheckBox" fmlaLink="NeoBerLab!Q5" lockText="1"/>
</file>

<file path=xl/ctrlProps/ctrlProp1213.xml><?xml version="1.0" encoding="utf-8"?>
<formControlPr xmlns="http://schemas.microsoft.com/office/spreadsheetml/2009/9/main" objectType="CheckBox" fmlaLink="NeoBerLab!Q7" lockText="1"/>
</file>

<file path=xl/ctrlProps/ctrlProp1214.xml><?xml version="1.0" encoding="utf-8"?>
<formControlPr xmlns="http://schemas.microsoft.com/office/spreadsheetml/2009/9/main" objectType="CheckBox" fmlaLink="NeoBerLab!Q8" lockText="1"/>
</file>

<file path=xl/ctrlProps/ctrlProp1215.xml><?xml version="1.0" encoding="utf-8"?>
<formControlPr xmlns="http://schemas.microsoft.com/office/spreadsheetml/2009/9/main" objectType="CheckBox" fmlaLink="NeoBerLab!Q14" lockText="1"/>
</file>

<file path=xl/ctrlProps/ctrlProp1216.xml><?xml version="1.0" encoding="utf-8"?>
<formControlPr xmlns="http://schemas.microsoft.com/office/spreadsheetml/2009/9/main" objectType="CheckBox" fmlaLink="NeoBerLab!Q13" lockText="1"/>
</file>

<file path=xl/ctrlProps/ctrlProp1217.xml><?xml version="1.0" encoding="utf-8"?>
<formControlPr xmlns="http://schemas.microsoft.com/office/spreadsheetml/2009/9/main" objectType="CheckBox" fmlaLink="NeoBerLab!Q30" lockText="1"/>
</file>

<file path=xl/ctrlProps/ctrlProp1218.xml><?xml version="1.0" encoding="utf-8"?>
<formControlPr xmlns="http://schemas.microsoft.com/office/spreadsheetml/2009/9/main" objectType="CheckBox" fmlaLink="NeoBerLab!Q16" lockText="1"/>
</file>

<file path=xl/ctrlProps/ctrlProp1219.xml><?xml version="1.0" encoding="utf-8"?>
<formControlPr xmlns="http://schemas.microsoft.com/office/spreadsheetml/2009/9/main" objectType="CheckBox" fmlaLink="NeoBerLab!Q19" lockText="1"/>
</file>

<file path=xl/ctrlProps/ctrlProp1220.xml><?xml version="1.0" encoding="utf-8"?>
<formControlPr xmlns="http://schemas.microsoft.com/office/spreadsheetml/2009/9/main" objectType="CheckBox" fmlaLink="NeoBerLab!Q20" lockText="1"/>
</file>

<file path=xl/ctrlProps/ctrlProp1221.xml><?xml version="1.0" encoding="utf-8"?>
<formControlPr xmlns="http://schemas.microsoft.com/office/spreadsheetml/2009/9/main" objectType="CheckBox" fmlaLink="NeoBerLab!Q21" lockText="1"/>
</file>

<file path=xl/ctrlProps/ctrlProp1222.xml><?xml version="1.0" encoding="utf-8"?>
<formControlPr xmlns="http://schemas.microsoft.com/office/spreadsheetml/2009/9/main" objectType="CheckBox" fmlaLink="NeoBerLab!Q12" lockText="1"/>
</file>

<file path=xl/ctrlProps/ctrlProp1223.xml><?xml version="1.0" encoding="utf-8"?>
<formControlPr xmlns="http://schemas.microsoft.com/office/spreadsheetml/2009/9/main" objectType="CheckBox" fmlaLink="NeoBerLab!Q28" lockText="1"/>
</file>

<file path=xl/ctrlProps/ctrlProp1224.xml><?xml version="1.0" encoding="utf-8"?>
<formControlPr xmlns="http://schemas.microsoft.com/office/spreadsheetml/2009/9/main" objectType="CheckBox" fmlaLink="NeoBerLab!Q32" lockText="1"/>
</file>

<file path=xl/ctrlProps/ctrlProp1225.xml><?xml version="1.0" encoding="utf-8"?>
<formControlPr xmlns="http://schemas.microsoft.com/office/spreadsheetml/2009/9/main" objectType="CheckBox" fmlaLink="NeoBerLab!Q6" lockText="1"/>
</file>

<file path=xl/ctrlProps/ctrlProp1226.xml><?xml version="1.0" encoding="utf-8"?>
<formControlPr xmlns="http://schemas.microsoft.com/office/spreadsheetml/2009/9/main" objectType="CheckBox" fmlaLink="NeoBerLab!Q17" lockText="1"/>
</file>

<file path=xl/ctrlProps/ctrlProp1227.xml><?xml version="1.0" encoding="utf-8"?>
<formControlPr xmlns="http://schemas.microsoft.com/office/spreadsheetml/2009/9/main" objectType="CheckBox" fmlaLink="NeoBerLab!Q33" lockText="1"/>
</file>

<file path=xl/ctrlProps/ctrlProp1228.xml><?xml version="1.0" encoding="utf-8"?>
<formControlPr xmlns="http://schemas.microsoft.com/office/spreadsheetml/2009/9/main" objectType="CheckBox" fmlaLink="NeoBerLab!Q34" lockText="1"/>
</file>

<file path=xl/ctrlProps/ctrlProp1229.xml><?xml version="1.0" encoding="utf-8"?>
<formControlPr xmlns="http://schemas.microsoft.com/office/spreadsheetml/2009/9/main" objectType="CheckBox" fmlaLink="NeoBerLab!Q9" lockText="1"/>
</file>

<file path=xl/ctrlProps/ctrlProp1230.xml><?xml version="1.0" encoding="utf-8"?>
<formControlPr xmlns="http://schemas.microsoft.com/office/spreadsheetml/2009/9/main" objectType="CheckBox" fmlaLink="NeoBerLab!Q11" lockText="1"/>
</file>

<file path=xl/ctrlProps/ctrlProp1231.xml><?xml version="1.0" encoding="utf-8"?>
<formControlPr xmlns="http://schemas.microsoft.com/office/spreadsheetml/2009/9/main" objectType="CheckBox" fmlaLink="NeoBerLab!Q15" lockText="1"/>
</file>

<file path=xl/ctrlProps/ctrlProp1232.xml><?xml version="1.0" encoding="utf-8"?>
<formControlPr xmlns="http://schemas.microsoft.com/office/spreadsheetml/2009/9/main" objectType="CheckBox" fmlaLink="NeoBerLab!Q22" lockText="1"/>
</file>

<file path=xl/ctrlProps/ctrlProp1233.xml><?xml version="1.0" encoding="utf-8"?>
<formControlPr xmlns="http://schemas.microsoft.com/office/spreadsheetml/2009/9/main" objectType="CheckBox" fmlaLink="NeoBerLab!Q23" lockText="1"/>
</file>

<file path=xl/ctrlProps/ctrlProp1234.xml><?xml version="1.0" encoding="utf-8"?>
<formControlPr xmlns="http://schemas.microsoft.com/office/spreadsheetml/2009/9/main" objectType="CheckBox" fmlaLink="NeoBerLab!Q24" lockText="1"/>
</file>

<file path=xl/ctrlProps/ctrlProp1235.xml><?xml version="1.0" encoding="utf-8"?>
<formControlPr xmlns="http://schemas.microsoft.com/office/spreadsheetml/2009/9/main" objectType="CheckBox" fmlaLink="NeoBerLab!Q25" lockText="1"/>
</file>

<file path=xl/ctrlProps/ctrlProp1236.xml><?xml version="1.0" encoding="utf-8"?>
<formControlPr xmlns="http://schemas.microsoft.com/office/spreadsheetml/2009/9/main" objectType="CheckBox" fmlaLink="NeoBerLab!Q26" lockText="1"/>
</file>

<file path=xl/ctrlProps/ctrlProp1237.xml><?xml version="1.0" encoding="utf-8"?>
<formControlPr xmlns="http://schemas.microsoft.com/office/spreadsheetml/2009/9/main" objectType="CheckBox" fmlaLink="NeoBerLab!Q29" lockText="1"/>
</file>

<file path=xl/ctrlProps/ctrlProp1238.xml><?xml version="1.0" encoding="utf-8"?>
<formControlPr xmlns="http://schemas.microsoft.com/office/spreadsheetml/2009/9/main" objectType="CheckBox" fmlaLink="NeoBerLab!Q18" lockText="1"/>
</file>

<file path=xl/ctrlProps/ctrlProp1239.xml><?xml version="1.0" encoding="utf-8"?>
<formControlPr xmlns="http://schemas.microsoft.com/office/spreadsheetml/2009/9/main" objectType="CheckBox" fmlaLink="NeoBerLab!Q10" lockText="1"/>
</file>

<file path=xl/ctrlProps/ctrlProp1240.xml><?xml version="1.0" encoding="utf-8"?>
<formControlPr xmlns="http://schemas.microsoft.com/office/spreadsheetml/2009/9/main" objectType="CheckBox" fmlaLink="NeoBerLab!Q31" lockText="1"/>
</file>

<file path=xl/ctrlProps/ctrlProp1241.xml><?xml version="1.0" encoding="utf-8"?>
<formControlPr xmlns="http://schemas.microsoft.com/office/spreadsheetml/2009/9/main" objectType="CheckBox" fmlaLink="NeoBerLab!Q27" lockText="1"/>
</file>

<file path=xl/ctrlProps/ctrlProp1242.xml><?xml version="1.0" encoding="utf-8"?>
<formControlPr xmlns="http://schemas.microsoft.com/office/spreadsheetml/2009/9/main" objectType="CheckBox" fmlaLink="NeoBerLab!$S$4" lockText="1"/>
</file>

<file path=xl/ctrlProps/ctrlProp1243.xml><?xml version="1.0" encoding="utf-8"?>
<formControlPr xmlns="http://schemas.microsoft.com/office/spreadsheetml/2009/9/main" objectType="CheckBox" fmlaLink="NeoBerLab!S5" lockText="1"/>
</file>

<file path=xl/ctrlProps/ctrlProp1244.xml><?xml version="1.0" encoding="utf-8"?>
<formControlPr xmlns="http://schemas.microsoft.com/office/spreadsheetml/2009/9/main" objectType="CheckBox" fmlaLink="NeoBerLab!S7" lockText="1"/>
</file>

<file path=xl/ctrlProps/ctrlProp1245.xml><?xml version="1.0" encoding="utf-8"?>
<formControlPr xmlns="http://schemas.microsoft.com/office/spreadsheetml/2009/9/main" objectType="CheckBox" fmlaLink="NeoBerLab!S8" lockText="1"/>
</file>

<file path=xl/ctrlProps/ctrlProp1246.xml><?xml version="1.0" encoding="utf-8"?>
<formControlPr xmlns="http://schemas.microsoft.com/office/spreadsheetml/2009/9/main" objectType="CheckBox" fmlaLink="NeoBerLab!S14" lockText="1"/>
</file>

<file path=xl/ctrlProps/ctrlProp1247.xml><?xml version="1.0" encoding="utf-8"?>
<formControlPr xmlns="http://schemas.microsoft.com/office/spreadsheetml/2009/9/main" objectType="CheckBox" fmlaLink="NeoBerLab!S13" lockText="1"/>
</file>

<file path=xl/ctrlProps/ctrlProp1248.xml><?xml version="1.0" encoding="utf-8"?>
<formControlPr xmlns="http://schemas.microsoft.com/office/spreadsheetml/2009/9/main" objectType="CheckBox" fmlaLink="NeoBerLab!S30" lockText="1"/>
</file>

<file path=xl/ctrlProps/ctrlProp1249.xml><?xml version="1.0" encoding="utf-8"?>
<formControlPr xmlns="http://schemas.microsoft.com/office/spreadsheetml/2009/9/main" objectType="CheckBox" fmlaLink="NeoBerLab!S16" lockText="1"/>
</file>

<file path=xl/ctrlProps/ctrlProp1250.xml><?xml version="1.0" encoding="utf-8"?>
<formControlPr xmlns="http://schemas.microsoft.com/office/spreadsheetml/2009/9/main" objectType="CheckBox" fmlaLink="NeoBerLab!S19" lockText="1"/>
</file>

<file path=xl/ctrlProps/ctrlProp1251.xml><?xml version="1.0" encoding="utf-8"?>
<formControlPr xmlns="http://schemas.microsoft.com/office/spreadsheetml/2009/9/main" objectType="CheckBox" fmlaLink="NeoBerLab!S20" lockText="1"/>
</file>

<file path=xl/ctrlProps/ctrlProp1252.xml><?xml version="1.0" encoding="utf-8"?>
<formControlPr xmlns="http://schemas.microsoft.com/office/spreadsheetml/2009/9/main" objectType="CheckBox" fmlaLink="NeoBerLab!S21" lockText="1"/>
</file>

<file path=xl/ctrlProps/ctrlProp1253.xml><?xml version="1.0" encoding="utf-8"?>
<formControlPr xmlns="http://schemas.microsoft.com/office/spreadsheetml/2009/9/main" objectType="CheckBox" fmlaLink="NeoBerLab!S12" lockText="1"/>
</file>

<file path=xl/ctrlProps/ctrlProp1254.xml><?xml version="1.0" encoding="utf-8"?>
<formControlPr xmlns="http://schemas.microsoft.com/office/spreadsheetml/2009/9/main" objectType="CheckBox" fmlaLink="NeoBerLab!S28" lockText="1"/>
</file>

<file path=xl/ctrlProps/ctrlProp1255.xml><?xml version="1.0" encoding="utf-8"?>
<formControlPr xmlns="http://schemas.microsoft.com/office/spreadsheetml/2009/9/main" objectType="CheckBox" fmlaLink="NeoBerLab!S32" lockText="1"/>
</file>

<file path=xl/ctrlProps/ctrlProp1256.xml><?xml version="1.0" encoding="utf-8"?>
<formControlPr xmlns="http://schemas.microsoft.com/office/spreadsheetml/2009/9/main" objectType="CheckBox" fmlaLink="NeoBerLab!S6" lockText="1"/>
</file>

<file path=xl/ctrlProps/ctrlProp1257.xml><?xml version="1.0" encoding="utf-8"?>
<formControlPr xmlns="http://schemas.microsoft.com/office/spreadsheetml/2009/9/main" objectType="CheckBox" fmlaLink="NeoBerLab!S17" lockText="1"/>
</file>

<file path=xl/ctrlProps/ctrlProp1258.xml><?xml version="1.0" encoding="utf-8"?>
<formControlPr xmlns="http://schemas.microsoft.com/office/spreadsheetml/2009/9/main" objectType="CheckBox" fmlaLink="NeoBerLab!S33" lockText="1"/>
</file>

<file path=xl/ctrlProps/ctrlProp1259.xml><?xml version="1.0" encoding="utf-8"?>
<formControlPr xmlns="http://schemas.microsoft.com/office/spreadsheetml/2009/9/main" objectType="CheckBox" fmlaLink="NeoBerLab!S34" lockText="1"/>
</file>

<file path=xl/ctrlProps/ctrlProp1260.xml><?xml version="1.0" encoding="utf-8"?>
<formControlPr xmlns="http://schemas.microsoft.com/office/spreadsheetml/2009/9/main" objectType="CheckBox" fmlaLink="NeoBerLab!S9" lockText="1"/>
</file>

<file path=xl/ctrlProps/ctrlProp1261.xml><?xml version="1.0" encoding="utf-8"?>
<formControlPr xmlns="http://schemas.microsoft.com/office/spreadsheetml/2009/9/main" objectType="CheckBox" fmlaLink="NeoBerLab!S11" lockText="1"/>
</file>

<file path=xl/ctrlProps/ctrlProp1262.xml><?xml version="1.0" encoding="utf-8"?>
<formControlPr xmlns="http://schemas.microsoft.com/office/spreadsheetml/2009/9/main" objectType="CheckBox" fmlaLink="NeoBerLab!S15" lockText="1"/>
</file>

<file path=xl/ctrlProps/ctrlProp1263.xml><?xml version="1.0" encoding="utf-8"?>
<formControlPr xmlns="http://schemas.microsoft.com/office/spreadsheetml/2009/9/main" objectType="CheckBox" fmlaLink="NeoBerLab!S22" lockText="1"/>
</file>

<file path=xl/ctrlProps/ctrlProp1264.xml><?xml version="1.0" encoding="utf-8"?>
<formControlPr xmlns="http://schemas.microsoft.com/office/spreadsheetml/2009/9/main" objectType="CheckBox" fmlaLink="NeoBerLab!S23" lockText="1"/>
</file>

<file path=xl/ctrlProps/ctrlProp1265.xml><?xml version="1.0" encoding="utf-8"?>
<formControlPr xmlns="http://schemas.microsoft.com/office/spreadsheetml/2009/9/main" objectType="CheckBox" fmlaLink="NeoBerLab!S24" lockText="1"/>
</file>

<file path=xl/ctrlProps/ctrlProp1266.xml><?xml version="1.0" encoding="utf-8"?>
<formControlPr xmlns="http://schemas.microsoft.com/office/spreadsheetml/2009/9/main" objectType="CheckBox" fmlaLink="NeoBerLab!S25" lockText="1"/>
</file>

<file path=xl/ctrlProps/ctrlProp1267.xml><?xml version="1.0" encoding="utf-8"?>
<formControlPr xmlns="http://schemas.microsoft.com/office/spreadsheetml/2009/9/main" objectType="CheckBox" fmlaLink="NeoBerLab!S26" lockText="1"/>
</file>

<file path=xl/ctrlProps/ctrlProp1268.xml><?xml version="1.0" encoding="utf-8"?>
<formControlPr xmlns="http://schemas.microsoft.com/office/spreadsheetml/2009/9/main" objectType="CheckBox" fmlaLink="NeoBerLab!S29" lockText="1"/>
</file>

<file path=xl/ctrlProps/ctrlProp1269.xml><?xml version="1.0" encoding="utf-8"?>
<formControlPr xmlns="http://schemas.microsoft.com/office/spreadsheetml/2009/9/main" objectType="CheckBox" fmlaLink="NeoBerLab!S18" lockText="1"/>
</file>

<file path=xl/ctrlProps/ctrlProp1270.xml><?xml version="1.0" encoding="utf-8"?>
<formControlPr xmlns="http://schemas.microsoft.com/office/spreadsheetml/2009/9/main" objectType="CheckBox" fmlaLink="NeoBerLab!S10" lockText="1"/>
</file>

<file path=xl/ctrlProps/ctrlProp1271.xml><?xml version="1.0" encoding="utf-8"?>
<formControlPr xmlns="http://schemas.microsoft.com/office/spreadsheetml/2009/9/main" objectType="CheckBox" fmlaLink="NeoBerLab!S31" lockText="1"/>
</file>

<file path=xl/ctrlProps/ctrlProp1272.xml><?xml version="1.0" encoding="utf-8"?>
<formControlPr xmlns="http://schemas.microsoft.com/office/spreadsheetml/2009/9/main" objectType="CheckBox" fmlaLink="NeoBerLab!S27" lockText="1"/>
</file>

<file path=xl/ctrlProps/ctrlProp1273.xml><?xml version="1.0" encoding="utf-8"?>
<formControlPr xmlns="http://schemas.microsoft.com/office/spreadsheetml/2009/9/main" objectType="Spin" dx="15" fmlaLink="PatDetails!$H$2" max="200" min="25" page="10" val="8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8</xdr:row>
          <xdr:rowOff>47874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9</xdr:row>
          <xdr:rowOff>47874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10</xdr:row>
          <xdr:rowOff>47874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11</xdr:row>
          <xdr:rowOff>47874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12</xdr:row>
          <xdr:rowOff>47874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13</xdr:row>
          <xdr:rowOff>47874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14</xdr:row>
          <xdr:rowOff>47874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15</xdr:row>
          <xdr:rowOff>47874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16</xdr:row>
          <xdr:rowOff>47874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23</xdr:row>
          <xdr:rowOff>28725</xdr:rowOff>
        </xdr:from>
        <xdr:to>
          <xdr:col>4</xdr:col>
          <xdr:colOff>646304</xdr:colOff>
          <xdr:row>23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23</xdr:row>
          <xdr:rowOff>19150</xdr:rowOff>
        </xdr:from>
        <xdr:to>
          <xdr:col>6</xdr:col>
          <xdr:colOff>962274</xdr:colOff>
          <xdr:row>23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17</xdr:row>
          <xdr:rowOff>47874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17</xdr:row>
          <xdr:rowOff>19150</xdr:rowOff>
        </xdr:from>
        <xdr:to>
          <xdr:col>5</xdr:col>
          <xdr:colOff>722903</xdr:colOff>
          <xdr:row>17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7</xdr:col>
          <xdr:colOff>0</xdr:colOff>
          <xdr:row>8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7</xdr:col>
          <xdr:colOff>0</xdr:colOff>
          <xdr:row>9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7</xdr:col>
          <xdr:colOff>0</xdr:colOff>
          <xdr:row>10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7</xdr:col>
          <xdr:colOff>0</xdr:colOff>
          <xdr:row>11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7</xdr:col>
          <xdr:colOff>0</xdr:colOff>
          <xdr:row>12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7</xdr:col>
          <xdr:colOff>0</xdr:colOff>
          <xdr:row>13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7</xdr:col>
          <xdr:colOff>0</xdr:colOff>
          <xdr:row>14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7</xdr:col>
          <xdr:colOff>0</xdr:colOff>
          <xdr:row>15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7</xdr:col>
          <xdr:colOff>0</xdr:colOff>
          <xdr:row>16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17</xdr:row>
          <xdr:rowOff>9575</xdr:rowOff>
        </xdr:from>
        <xdr:to>
          <xdr:col>7</xdr:col>
          <xdr:colOff>0</xdr:colOff>
          <xdr:row>17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23</xdr:row>
      <xdr:rowOff>0</xdr:rowOff>
    </xdr:from>
    <xdr:to>
      <xdr:col>2</xdr:col>
      <xdr:colOff>1114425</xdr:colOff>
      <xdr:row>23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799502</xdr:colOff>
          <xdr:row>3</xdr:row>
          <xdr:rowOff>9575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7229475" y="361950"/>
          <a:ext cx="8667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31</xdr:row>
      <xdr:rowOff>9525</xdr:rowOff>
    </xdr:from>
    <xdr:to>
      <xdr:col>10</xdr:col>
      <xdr:colOff>695325</xdr:colOff>
      <xdr:row>35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190500</xdr:colOff>
      <xdr:row>5</xdr:row>
      <xdr:rowOff>133350</xdr:rowOff>
    </xdr:from>
    <xdr:to>
      <xdr:col>2</xdr:col>
      <xdr:colOff>828675</xdr:colOff>
      <xdr:row>7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8</xdr:row>
          <xdr:rowOff>9575</xdr:rowOff>
        </xdr:from>
        <xdr:to>
          <xdr:col>5</xdr:col>
          <xdr:colOff>0</xdr:colOff>
          <xdr:row>8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9</xdr:row>
          <xdr:rowOff>9575</xdr:rowOff>
        </xdr:from>
        <xdr:to>
          <xdr:col>5</xdr:col>
          <xdr:colOff>0</xdr:colOff>
          <xdr:row>9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10</xdr:row>
          <xdr:rowOff>9575</xdr:rowOff>
        </xdr:from>
        <xdr:to>
          <xdr:col>5</xdr:col>
          <xdr:colOff>0</xdr:colOff>
          <xdr:row>10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11</xdr:row>
          <xdr:rowOff>9575</xdr:rowOff>
        </xdr:from>
        <xdr:to>
          <xdr:col>5</xdr:col>
          <xdr:colOff>0</xdr:colOff>
          <xdr:row>11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12</xdr:row>
          <xdr:rowOff>9575</xdr:rowOff>
        </xdr:from>
        <xdr:to>
          <xdr:col>5</xdr:col>
          <xdr:colOff>0</xdr:colOff>
          <xdr:row>12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13</xdr:row>
          <xdr:rowOff>9575</xdr:rowOff>
        </xdr:from>
        <xdr:to>
          <xdr:col>5</xdr:col>
          <xdr:colOff>0</xdr:colOff>
          <xdr:row>13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14</xdr:row>
          <xdr:rowOff>9575</xdr:rowOff>
        </xdr:from>
        <xdr:to>
          <xdr:col>5</xdr:col>
          <xdr:colOff>0</xdr:colOff>
          <xdr:row>14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15</xdr:row>
          <xdr:rowOff>9575</xdr:rowOff>
        </xdr:from>
        <xdr:to>
          <xdr:col>5</xdr:col>
          <xdr:colOff>0</xdr:colOff>
          <xdr:row>15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16</xdr:row>
          <xdr:rowOff>9575</xdr:rowOff>
        </xdr:from>
        <xdr:to>
          <xdr:col>5</xdr:col>
          <xdr:colOff>0</xdr:colOff>
          <xdr:row>16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17</xdr:row>
          <xdr:rowOff>9575</xdr:rowOff>
        </xdr:from>
        <xdr:to>
          <xdr:col>5</xdr:col>
          <xdr:colOff>0</xdr:colOff>
          <xdr:row>17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8</xdr:row>
          <xdr:rowOff>28725</xdr:rowOff>
        </xdr:from>
        <xdr:to>
          <xdr:col>4</xdr:col>
          <xdr:colOff>0</xdr:colOff>
          <xdr:row>8</xdr:row>
          <xdr:rowOff>239372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9</xdr:row>
          <xdr:rowOff>28725</xdr:rowOff>
        </xdr:from>
        <xdr:to>
          <xdr:col>4</xdr:col>
          <xdr:colOff>0</xdr:colOff>
          <xdr:row>9</xdr:row>
          <xdr:rowOff>239372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10</xdr:row>
          <xdr:rowOff>28725</xdr:rowOff>
        </xdr:from>
        <xdr:to>
          <xdr:col>4</xdr:col>
          <xdr:colOff>0</xdr:colOff>
          <xdr:row>10</xdr:row>
          <xdr:rowOff>239372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11</xdr:row>
          <xdr:rowOff>28725</xdr:rowOff>
        </xdr:from>
        <xdr:to>
          <xdr:col>4</xdr:col>
          <xdr:colOff>0</xdr:colOff>
          <xdr:row>11</xdr:row>
          <xdr:rowOff>239372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12</xdr:row>
          <xdr:rowOff>28725</xdr:rowOff>
        </xdr:from>
        <xdr:to>
          <xdr:col>4</xdr:col>
          <xdr:colOff>0</xdr:colOff>
          <xdr:row>12</xdr:row>
          <xdr:rowOff>239372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13</xdr:row>
          <xdr:rowOff>28725</xdr:rowOff>
        </xdr:from>
        <xdr:to>
          <xdr:col>4</xdr:col>
          <xdr:colOff>0</xdr:colOff>
          <xdr:row>13</xdr:row>
          <xdr:rowOff>239372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14</xdr:row>
          <xdr:rowOff>28725</xdr:rowOff>
        </xdr:from>
        <xdr:to>
          <xdr:col>4</xdr:col>
          <xdr:colOff>0</xdr:colOff>
          <xdr:row>14</xdr:row>
          <xdr:rowOff>239372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15</xdr:row>
          <xdr:rowOff>28725</xdr:rowOff>
        </xdr:from>
        <xdr:to>
          <xdr:col>4</xdr:col>
          <xdr:colOff>0</xdr:colOff>
          <xdr:row>15</xdr:row>
          <xdr:rowOff>239372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16</xdr:row>
          <xdr:rowOff>28725</xdr:rowOff>
        </xdr:from>
        <xdr:to>
          <xdr:col>4</xdr:col>
          <xdr:colOff>0</xdr:colOff>
          <xdr:row>16</xdr:row>
          <xdr:rowOff>239372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17</xdr:row>
          <xdr:rowOff>28725</xdr:rowOff>
        </xdr:from>
        <xdr:to>
          <xdr:col>4</xdr:col>
          <xdr:colOff>0</xdr:colOff>
          <xdr:row>17</xdr:row>
          <xdr:rowOff>239372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8</xdr:row>
          <xdr:rowOff>57449</xdr:rowOff>
        </xdr:from>
        <xdr:to>
          <xdr:col>1</xdr:col>
          <xdr:colOff>28725</xdr:colOff>
          <xdr:row>8</xdr:row>
          <xdr:rowOff>210647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9</xdr:row>
          <xdr:rowOff>47874</xdr:rowOff>
        </xdr:from>
        <xdr:to>
          <xdr:col>1</xdr:col>
          <xdr:colOff>28725</xdr:colOff>
          <xdr:row>9</xdr:row>
          <xdr:rowOff>201072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10</xdr:row>
          <xdr:rowOff>57449</xdr:rowOff>
        </xdr:from>
        <xdr:to>
          <xdr:col>1</xdr:col>
          <xdr:colOff>28725</xdr:colOff>
          <xdr:row>10</xdr:row>
          <xdr:rowOff>210647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11</xdr:row>
          <xdr:rowOff>57449</xdr:rowOff>
        </xdr:from>
        <xdr:to>
          <xdr:col>1</xdr:col>
          <xdr:colOff>28725</xdr:colOff>
          <xdr:row>11</xdr:row>
          <xdr:rowOff>210647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12</xdr:row>
          <xdr:rowOff>57449</xdr:rowOff>
        </xdr:from>
        <xdr:to>
          <xdr:col>1</xdr:col>
          <xdr:colOff>28725</xdr:colOff>
          <xdr:row>12</xdr:row>
          <xdr:rowOff>210647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13</xdr:row>
          <xdr:rowOff>57449</xdr:rowOff>
        </xdr:from>
        <xdr:to>
          <xdr:col>1</xdr:col>
          <xdr:colOff>28725</xdr:colOff>
          <xdr:row>13</xdr:row>
          <xdr:rowOff>210647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14</xdr:row>
          <xdr:rowOff>57449</xdr:rowOff>
        </xdr:from>
        <xdr:to>
          <xdr:col>1</xdr:col>
          <xdr:colOff>28725</xdr:colOff>
          <xdr:row>14</xdr:row>
          <xdr:rowOff>210647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15</xdr:row>
          <xdr:rowOff>57449</xdr:rowOff>
        </xdr:from>
        <xdr:to>
          <xdr:col>1</xdr:col>
          <xdr:colOff>28725</xdr:colOff>
          <xdr:row>15</xdr:row>
          <xdr:rowOff>210647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16</xdr:row>
          <xdr:rowOff>57449</xdr:rowOff>
        </xdr:from>
        <xdr:to>
          <xdr:col>1</xdr:col>
          <xdr:colOff>28725</xdr:colOff>
          <xdr:row>16</xdr:row>
          <xdr:rowOff>210647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17</xdr:row>
          <xdr:rowOff>57449</xdr:rowOff>
        </xdr:from>
        <xdr:to>
          <xdr:col>1</xdr:col>
          <xdr:colOff>28725</xdr:colOff>
          <xdr:row>17</xdr:row>
          <xdr:rowOff>210647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8</xdr:row>
      <xdr:rowOff>38101</xdr:rowOff>
    </xdr:from>
    <xdr:to>
      <xdr:col>3</xdr:col>
      <xdr:colOff>762000</xdr:colOff>
      <xdr:row>9</xdr:row>
      <xdr:rowOff>1</xdr:rowOff>
    </xdr:to>
    <xdr:sp macro="[0]!SetMedContIVSterkte_01" textlink="">
      <xdr:nvSpPr>
        <xdr:cNvPr id="96" name="Rectangle 142"/>
        <xdr:cNvSpPr>
          <a:spLocks noChangeArrowheads="1"/>
        </xdr:cNvSpPr>
      </xdr:nvSpPr>
      <xdr:spPr bwMode="auto">
        <a:xfrm>
          <a:off x="2686050" y="1419226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9</xdr:row>
      <xdr:rowOff>38100</xdr:rowOff>
    </xdr:from>
    <xdr:to>
      <xdr:col>3</xdr:col>
      <xdr:colOff>762000</xdr:colOff>
      <xdr:row>10</xdr:row>
      <xdr:rowOff>0</xdr:rowOff>
    </xdr:to>
    <xdr:sp macro="[0]!SetMedContIVSterkte_02" textlink="">
      <xdr:nvSpPr>
        <xdr:cNvPr id="91" name="Rectangle 142"/>
        <xdr:cNvSpPr>
          <a:spLocks noChangeArrowheads="1"/>
        </xdr:cNvSpPr>
      </xdr:nvSpPr>
      <xdr:spPr bwMode="auto">
        <a:xfrm>
          <a:off x="2686050" y="16668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10</xdr:row>
      <xdr:rowOff>28575</xdr:rowOff>
    </xdr:from>
    <xdr:to>
      <xdr:col>3</xdr:col>
      <xdr:colOff>762000</xdr:colOff>
      <xdr:row>10</xdr:row>
      <xdr:rowOff>238125</xdr:rowOff>
    </xdr:to>
    <xdr:sp macro="[0]!SetMedContIVSterkte_03" textlink="">
      <xdr:nvSpPr>
        <xdr:cNvPr id="93" name="Rectangle 142"/>
        <xdr:cNvSpPr>
          <a:spLocks noChangeArrowheads="1"/>
        </xdr:cNvSpPr>
      </xdr:nvSpPr>
      <xdr:spPr bwMode="auto">
        <a:xfrm>
          <a:off x="2686050" y="19050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38100</xdr:rowOff>
    </xdr:from>
    <xdr:to>
      <xdr:col>3</xdr:col>
      <xdr:colOff>781050</xdr:colOff>
      <xdr:row>12</xdr:row>
      <xdr:rowOff>0</xdr:rowOff>
    </xdr:to>
    <xdr:sp macro="[0]!SetMedContIVSterkte_04" textlink="">
      <xdr:nvSpPr>
        <xdr:cNvPr id="95" name="Rectangle 142"/>
        <xdr:cNvSpPr>
          <a:spLocks noChangeArrowheads="1"/>
        </xdr:cNvSpPr>
      </xdr:nvSpPr>
      <xdr:spPr bwMode="auto">
        <a:xfrm>
          <a:off x="2705100" y="21621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12</xdr:row>
      <xdr:rowOff>38100</xdr:rowOff>
    </xdr:from>
    <xdr:to>
      <xdr:col>3</xdr:col>
      <xdr:colOff>762000</xdr:colOff>
      <xdr:row>13</xdr:row>
      <xdr:rowOff>0</xdr:rowOff>
    </xdr:to>
    <xdr:sp macro="[0]!SetMedContIVSterkte_05" textlink="">
      <xdr:nvSpPr>
        <xdr:cNvPr id="97" name="Rectangle 142"/>
        <xdr:cNvSpPr>
          <a:spLocks noChangeArrowheads="1"/>
        </xdr:cNvSpPr>
      </xdr:nvSpPr>
      <xdr:spPr bwMode="auto">
        <a:xfrm>
          <a:off x="2686050" y="240982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13</xdr:row>
      <xdr:rowOff>38100</xdr:rowOff>
    </xdr:from>
    <xdr:to>
      <xdr:col>3</xdr:col>
      <xdr:colOff>762000</xdr:colOff>
      <xdr:row>14</xdr:row>
      <xdr:rowOff>0</xdr:rowOff>
    </xdr:to>
    <xdr:sp macro="[0]!SetMedContIVSterkte_06" textlink="">
      <xdr:nvSpPr>
        <xdr:cNvPr id="99" name="Rectangle 142"/>
        <xdr:cNvSpPr>
          <a:spLocks noChangeArrowheads="1"/>
        </xdr:cNvSpPr>
      </xdr:nvSpPr>
      <xdr:spPr bwMode="auto">
        <a:xfrm>
          <a:off x="2686050" y="26574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1790700</xdr:colOff>
      <xdr:row>14</xdr:row>
      <xdr:rowOff>28575</xdr:rowOff>
    </xdr:from>
    <xdr:to>
      <xdr:col>3</xdr:col>
      <xdr:colOff>752475</xdr:colOff>
      <xdr:row>14</xdr:row>
      <xdr:rowOff>238125</xdr:rowOff>
    </xdr:to>
    <xdr:sp macro="[0]!SetMedContIVSterkte_07" textlink="">
      <xdr:nvSpPr>
        <xdr:cNvPr id="100" name="Rectangle 142"/>
        <xdr:cNvSpPr>
          <a:spLocks noChangeArrowheads="1"/>
        </xdr:cNvSpPr>
      </xdr:nvSpPr>
      <xdr:spPr bwMode="auto">
        <a:xfrm>
          <a:off x="2676525" y="28956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15</xdr:row>
      <xdr:rowOff>38100</xdr:rowOff>
    </xdr:from>
    <xdr:to>
      <xdr:col>3</xdr:col>
      <xdr:colOff>762000</xdr:colOff>
      <xdr:row>16</xdr:row>
      <xdr:rowOff>0</xdr:rowOff>
    </xdr:to>
    <xdr:sp macro="[0]!SetMedContIVSterkte_08" textlink="">
      <xdr:nvSpPr>
        <xdr:cNvPr id="101" name="Rectangle 142"/>
        <xdr:cNvSpPr>
          <a:spLocks noChangeArrowheads="1"/>
        </xdr:cNvSpPr>
      </xdr:nvSpPr>
      <xdr:spPr bwMode="auto">
        <a:xfrm>
          <a:off x="2686050" y="31527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16</xdr:row>
      <xdr:rowOff>28575</xdr:rowOff>
    </xdr:from>
    <xdr:to>
      <xdr:col>3</xdr:col>
      <xdr:colOff>762000</xdr:colOff>
      <xdr:row>16</xdr:row>
      <xdr:rowOff>238125</xdr:rowOff>
    </xdr:to>
    <xdr:sp macro="[0]!SetMedContIVSterkte_09" textlink="">
      <xdr:nvSpPr>
        <xdr:cNvPr id="102" name="Rectangle 142"/>
        <xdr:cNvSpPr>
          <a:spLocks noChangeArrowheads="1"/>
        </xdr:cNvSpPr>
      </xdr:nvSpPr>
      <xdr:spPr bwMode="auto">
        <a:xfrm>
          <a:off x="2686050" y="33909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3</xdr:col>
      <xdr:colOff>762000</xdr:colOff>
      <xdr:row>17</xdr:row>
      <xdr:rowOff>238125</xdr:rowOff>
    </xdr:to>
    <xdr:sp macro="[0]!SetMedContIVSterkte_10" textlink="">
      <xdr:nvSpPr>
        <xdr:cNvPr id="104" name="Rectangle 142"/>
        <xdr:cNvSpPr>
          <a:spLocks noChangeArrowheads="1"/>
        </xdr:cNvSpPr>
      </xdr:nvSpPr>
      <xdr:spPr bwMode="auto">
        <a:xfrm>
          <a:off x="2686050" y="363855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8</xdr:row>
      <xdr:rowOff>57150</xdr:rowOff>
    </xdr:from>
    <xdr:to>
      <xdr:col>4</xdr:col>
      <xdr:colOff>590550</xdr:colOff>
      <xdr:row>8</xdr:row>
      <xdr:rowOff>238125</xdr:rowOff>
    </xdr:to>
    <xdr:sp macro="[0]!SetMedContIVOplossing_01" textlink="">
      <xdr:nvSpPr>
        <xdr:cNvPr id="106" name="Rectangle 142"/>
        <xdr:cNvSpPr>
          <a:spLocks noChangeArrowheads="1"/>
        </xdr:cNvSpPr>
      </xdr:nvSpPr>
      <xdr:spPr bwMode="auto">
        <a:xfrm>
          <a:off x="3590925" y="14382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9</xdr:row>
      <xdr:rowOff>57150</xdr:rowOff>
    </xdr:from>
    <xdr:to>
      <xdr:col>4</xdr:col>
      <xdr:colOff>581025</xdr:colOff>
      <xdr:row>9</xdr:row>
      <xdr:rowOff>238125</xdr:rowOff>
    </xdr:to>
    <xdr:sp macro="[0]!SetMedContIVOplossing_2" textlink="">
      <xdr:nvSpPr>
        <xdr:cNvPr id="109" name="Rectangle 142"/>
        <xdr:cNvSpPr>
          <a:spLocks noChangeArrowheads="1"/>
        </xdr:cNvSpPr>
      </xdr:nvSpPr>
      <xdr:spPr bwMode="auto">
        <a:xfrm>
          <a:off x="3581400" y="168592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10</xdr:row>
      <xdr:rowOff>47625</xdr:rowOff>
    </xdr:from>
    <xdr:to>
      <xdr:col>4</xdr:col>
      <xdr:colOff>581025</xdr:colOff>
      <xdr:row>10</xdr:row>
      <xdr:rowOff>228600</xdr:rowOff>
    </xdr:to>
    <xdr:sp macro="[0]!SetMedContIVOplossing_03" textlink="">
      <xdr:nvSpPr>
        <xdr:cNvPr id="110" name="Rectangle 142"/>
        <xdr:cNvSpPr>
          <a:spLocks noChangeArrowheads="1"/>
        </xdr:cNvSpPr>
      </xdr:nvSpPr>
      <xdr:spPr bwMode="auto">
        <a:xfrm>
          <a:off x="3581400" y="19240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11</xdr:row>
      <xdr:rowOff>47625</xdr:rowOff>
    </xdr:from>
    <xdr:to>
      <xdr:col>4</xdr:col>
      <xdr:colOff>581025</xdr:colOff>
      <xdr:row>11</xdr:row>
      <xdr:rowOff>228600</xdr:rowOff>
    </xdr:to>
    <xdr:sp macro="[0]!SetMedContIVOplossing_04" textlink="">
      <xdr:nvSpPr>
        <xdr:cNvPr id="111" name="Rectangle 142"/>
        <xdr:cNvSpPr>
          <a:spLocks noChangeArrowheads="1"/>
        </xdr:cNvSpPr>
      </xdr:nvSpPr>
      <xdr:spPr bwMode="auto">
        <a:xfrm>
          <a:off x="3581400" y="21717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12</xdr:row>
      <xdr:rowOff>57150</xdr:rowOff>
    </xdr:from>
    <xdr:to>
      <xdr:col>4</xdr:col>
      <xdr:colOff>581025</xdr:colOff>
      <xdr:row>12</xdr:row>
      <xdr:rowOff>238125</xdr:rowOff>
    </xdr:to>
    <xdr:sp macro="[0]!SetMedContIVOplossing_05" textlink="">
      <xdr:nvSpPr>
        <xdr:cNvPr id="112" name="Rectangle 142"/>
        <xdr:cNvSpPr>
          <a:spLocks noChangeArrowheads="1"/>
        </xdr:cNvSpPr>
      </xdr:nvSpPr>
      <xdr:spPr bwMode="auto">
        <a:xfrm>
          <a:off x="3581400" y="24288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13</xdr:row>
      <xdr:rowOff>47625</xdr:rowOff>
    </xdr:from>
    <xdr:to>
      <xdr:col>4</xdr:col>
      <xdr:colOff>581025</xdr:colOff>
      <xdr:row>13</xdr:row>
      <xdr:rowOff>228600</xdr:rowOff>
    </xdr:to>
    <xdr:sp macro="[0]!SetMedContIVOplossing_06" textlink="">
      <xdr:nvSpPr>
        <xdr:cNvPr id="113" name="Rectangle 142"/>
        <xdr:cNvSpPr>
          <a:spLocks noChangeArrowheads="1"/>
        </xdr:cNvSpPr>
      </xdr:nvSpPr>
      <xdr:spPr bwMode="auto">
        <a:xfrm>
          <a:off x="3581400" y="26670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14</xdr:row>
      <xdr:rowOff>28575</xdr:rowOff>
    </xdr:from>
    <xdr:to>
      <xdr:col>4</xdr:col>
      <xdr:colOff>581025</xdr:colOff>
      <xdr:row>14</xdr:row>
      <xdr:rowOff>209550</xdr:rowOff>
    </xdr:to>
    <xdr:sp macro="[0]!SetMedContIVOplossing_07" textlink="">
      <xdr:nvSpPr>
        <xdr:cNvPr id="114" name="Rectangle 142"/>
        <xdr:cNvSpPr>
          <a:spLocks noChangeArrowheads="1"/>
        </xdr:cNvSpPr>
      </xdr:nvSpPr>
      <xdr:spPr bwMode="auto">
        <a:xfrm>
          <a:off x="3581400" y="2895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15</xdr:row>
      <xdr:rowOff>28575</xdr:rowOff>
    </xdr:from>
    <xdr:to>
      <xdr:col>4</xdr:col>
      <xdr:colOff>581025</xdr:colOff>
      <xdr:row>15</xdr:row>
      <xdr:rowOff>209550</xdr:rowOff>
    </xdr:to>
    <xdr:sp macro="[0]!SetMedContIVOplossing_08" textlink="">
      <xdr:nvSpPr>
        <xdr:cNvPr id="115" name="Rectangle 142"/>
        <xdr:cNvSpPr>
          <a:spLocks noChangeArrowheads="1"/>
        </xdr:cNvSpPr>
      </xdr:nvSpPr>
      <xdr:spPr bwMode="auto">
        <a:xfrm>
          <a:off x="3581400" y="31432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16</xdr:row>
      <xdr:rowOff>47625</xdr:rowOff>
    </xdr:from>
    <xdr:to>
      <xdr:col>4</xdr:col>
      <xdr:colOff>581025</xdr:colOff>
      <xdr:row>16</xdr:row>
      <xdr:rowOff>228600</xdr:rowOff>
    </xdr:to>
    <xdr:sp macro="[0]!SetMedContIVOplossing_09" textlink="">
      <xdr:nvSpPr>
        <xdr:cNvPr id="116" name="Rectangle 142"/>
        <xdr:cNvSpPr>
          <a:spLocks noChangeArrowheads="1"/>
        </xdr:cNvSpPr>
      </xdr:nvSpPr>
      <xdr:spPr bwMode="auto">
        <a:xfrm>
          <a:off x="3581400" y="34099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885825</xdr:colOff>
      <xdr:row>17</xdr:row>
      <xdr:rowOff>47625</xdr:rowOff>
    </xdr:from>
    <xdr:to>
      <xdr:col>4</xdr:col>
      <xdr:colOff>571500</xdr:colOff>
      <xdr:row>17</xdr:row>
      <xdr:rowOff>228600</xdr:rowOff>
    </xdr:to>
    <xdr:sp macro="[0]!SetMedContIVOplossing_10" textlink="">
      <xdr:nvSpPr>
        <xdr:cNvPr id="117" name="Rectangle 142"/>
        <xdr:cNvSpPr>
          <a:spLocks noChangeArrowheads="1"/>
        </xdr:cNvSpPr>
      </xdr:nvSpPr>
      <xdr:spPr bwMode="auto">
        <a:xfrm>
          <a:off x="3571875" y="3657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114300</xdr:rowOff>
    </xdr:from>
    <xdr:to>
      <xdr:col>7</xdr:col>
      <xdr:colOff>19050</xdr:colOff>
      <xdr:row>24</xdr:row>
      <xdr:rowOff>200025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24525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32" name="Drop Down 500" hidden="1">
              <a:extLst>
                <a:ext uri="{63B3BB69-23CF-44E3-9099-C40C66FF867C}">
                  <a14:compatExt spid="_x0000_s18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45</xdr:row>
          <xdr:rowOff>28725</xdr:rowOff>
        </xdr:from>
        <xdr:to>
          <xdr:col>7</xdr:col>
          <xdr:colOff>579280</xdr:colOff>
          <xdr:row>45</xdr:row>
          <xdr:rowOff>220222</xdr:rowOff>
        </xdr:to>
        <xdr:sp macro="" textlink="">
          <xdr:nvSpPr>
            <xdr:cNvPr id="18935" name="Spinner 503" hidden="1">
              <a:extLst>
                <a:ext uri="{63B3BB69-23CF-44E3-9099-C40C66FF867C}">
                  <a14:compatExt spid="_x0000_s18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9575</xdr:rowOff>
        </xdr:from>
        <xdr:to>
          <xdr:col>9</xdr:col>
          <xdr:colOff>134048</xdr:colOff>
          <xdr:row>45</xdr:row>
          <xdr:rowOff>239372</xdr:rowOff>
        </xdr:to>
        <xdr:sp macro="" textlink="">
          <xdr:nvSpPr>
            <xdr:cNvPr id="18936" name="Spinner 504" hidden="1">
              <a:extLst>
                <a:ext uri="{63B3BB69-23CF-44E3-9099-C40C66FF867C}">
                  <a14:compatExt spid="_x0000_s18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45</xdr:row>
          <xdr:rowOff>38299</xdr:rowOff>
        </xdr:from>
        <xdr:to>
          <xdr:col>12</xdr:col>
          <xdr:colOff>464381</xdr:colOff>
          <xdr:row>45</xdr:row>
          <xdr:rowOff>229797</xdr:rowOff>
        </xdr:to>
        <xdr:sp macro="" textlink="">
          <xdr:nvSpPr>
            <xdr:cNvPr id="18938" name="Spinner 506" hidden="1">
              <a:extLst>
                <a:ext uri="{63B3BB69-23CF-44E3-9099-C40C66FF867C}">
                  <a14:compatExt spid="_x0000_s18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45</xdr:row>
          <xdr:rowOff>38299</xdr:rowOff>
        </xdr:from>
        <xdr:to>
          <xdr:col>15</xdr:col>
          <xdr:colOff>181923</xdr:colOff>
          <xdr:row>45</xdr:row>
          <xdr:rowOff>229797</xdr:rowOff>
        </xdr:to>
        <xdr:sp macro="" textlink="">
          <xdr:nvSpPr>
            <xdr:cNvPr id="18939" name="Spinner 507" hidden="1">
              <a:extLst>
                <a:ext uri="{63B3BB69-23CF-44E3-9099-C40C66FF867C}">
                  <a14:compatExt spid="_x0000_s18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45</xdr:row>
      <xdr:rowOff>9525</xdr:rowOff>
    </xdr:from>
    <xdr:to>
      <xdr:col>7</xdr:col>
      <xdr:colOff>0</xdr:colOff>
      <xdr:row>45</xdr:row>
      <xdr:rowOff>238125</xdr:rowOff>
    </xdr:to>
    <xdr:sp macro="[0]!Medicament_21" textlink="">
      <xdr:nvSpPr>
        <xdr:cNvPr id="226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46</xdr:row>
      <xdr:rowOff>104775</xdr:rowOff>
    </xdr:from>
    <xdr:to>
      <xdr:col>7</xdr:col>
      <xdr:colOff>19050</xdr:colOff>
      <xdr:row>46</xdr:row>
      <xdr:rowOff>190500</xdr:rowOff>
    </xdr:to>
    <xdr:sp macro="[0]!opmMedDisc_21" textlink="">
      <xdr:nvSpPr>
        <xdr:cNvPr id="227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9" name="Drop Down 517" hidden="1">
              <a:extLst>
                <a:ext uri="{63B3BB69-23CF-44E3-9099-C40C66FF867C}">
                  <a14:compatExt spid="_x0000_s18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47</xdr:row>
          <xdr:rowOff>28725</xdr:rowOff>
        </xdr:from>
        <xdr:to>
          <xdr:col>7</xdr:col>
          <xdr:colOff>579280</xdr:colOff>
          <xdr:row>47</xdr:row>
          <xdr:rowOff>220222</xdr:rowOff>
        </xdr:to>
        <xdr:sp macro="" textlink="">
          <xdr:nvSpPr>
            <xdr:cNvPr id="18950" name="Spinner 518" hidden="1">
              <a:extLst>
                <a:ext uri="{63B3BB69-23CF-44E3-9099-C40C66FF867C}">
                  <a14:compatExt spid="_x0000_s18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47</xdr:row>
          <xdr:rowOff>9575</xdr:rowOff>
        </xdr:from>
        <xdr:to>
          <xdr:col>9</xdr:col>
          <xdr:colOff>134048</xdr:colOff>
          <xdr:row>47</xdr:row>
          <xdr:rowOff>239372</xdr:rowOff>
        </xdr:to>
        <xdr:sp macro="" textlink="">
          <xdr:nvSpPr>
            <xdr:cNvPr id="18951" name="Spinner 519" hidden="1">
              <a:extLst>
                <a:ext uri="{63B3BB69-23CF-44E3-9099-C40C66FF867C}">
                  <a14:compatExt spid="_x0000_s18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47</xdr:row>
          <xdr:rowOff>38299</xdr:rowOff>
        </xdr:from>
        <xdr:to>
          <xdr:col>12</xdr:col>
          <xdr:colOff>464381</xdr:colOff>
          <xdr:row>47</xdr:row>
          <xdr:rowOff>229797</xdr:rowOff>
        </xdr:to>
        <xdr:sp macro="" textlink="">
          <xdr:nvSpPr>
            <xdr:cNvPr id="18953" name="Spinner 521" hidden="1">
              <a:extLst>
                <a:ext uri="{63B3BB69-23CF-44E3-9099-C40C66FF867C}">
                  <a14:compatExt spid="_x0000_s18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47</xdr:row>
          <xdr:rowOff>38299</xdr:rowOff>
        </xdr:from>
        <xdr:to>
          <xdr:col>15</xdr:col>
          <xdr:colOff>181923</xdr:colOff>
          <xdr:row>47</xdr:row>
          <xdr:rowOff>229797</xdr:rowOff>
        </xdr:to>
        <xdr:sp macro="" textlink="">
          <xdr:nvSpPr>
            <xdr:cNvPr id="18954" name="Spinner 522" hidden="1">
              <a:extLst>
                <a:ext uri="{63B3BB69-23CF-44E3-9099-C40C66FF867C}">
                  <a14:compatExt spid="_x0000_s18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47</xdr:row>
      <xdr:rowOff>9525</xdr:rowOff>
    </xdr:from>
    <xdr:to>
      <xdr:col>7</xdr:col>
      <xdr:colOff>0</xdr:colOff>
      <xdr:row>47</xdr:row>
      <xdr:rowOff>238125</xdr:rowOff>
    </xdr:to>
    <xdr:sp macro="[0]!Medicament_22" textlink="">
      <xdr:nvSpPr>
        <xdr:cNvPr id="243" name="Rectangle 402"/>
        <xdr:cNvSpPr>
          <a:spLocks noChangeArrowheads="1"/>
        </xdr:cNvSpPr>
      </xdr:nvSpPr>
      <xdr:spPr bwMode="auto">
        <a:xfrm>
          <a:off x="1057275" y="10820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48</xdr:row>
      <xdr:rowOff>104775</xdr:rowOff>
    </xdr:from>
    <xdr:to>
      <xdr:col>7</xdr:col>
      <xdr:colOff>19050</xdr:colOff>
      <xdr:row>48</xdr:row>
      <xdr:rowOff>190500</xdr:rowOff>
    </xdr:to>
    <xdr:sp macro="[0]!opmMedDisc_22" textlink="">
      <xdr:nvSpPr>
        <xdr:cNvPr id="244" name="Rectangle 428"/>
        <xdr:cNvSpPr>
          <a:spLocks noChangeArrowheads="1"/>
        </xdr:cNvSpPr>
      </xdr:nvSpPr>
      <xdr:spPr bwMode="auto">
        <a:xfrm>
          <a:off x="209550" y="11163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4" name="Drop Down 532" hidden="1">
              <a:extLst>
                <a:ext uri="{63B3BB69-23CF-44E3-9099-C40C66FF867C}">
                  <a14:compatExt spid="_x0000_s18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49</xdr:row>
          <xdr:rowOff>28725</xdr:rowOff>
        </xdr:from>
        <xdr:to>
          <xdr:col>7</xdr:col>
          <xdr:colOff>579280</xdr:colOff>
          <xdr:row>49</xdr:row>
          <xdr:rowOff>220222</xdr:rowOff>
        </xdr:to>
        <xdr:sp macro="" textlink="">
          <xdr:nvSpPr>
            <xdr:cNvPr id="18965" name="Spinner 533" hidden="1">
              <a:extLst>
                <a:ext uri="{63B3BB69-23CF-44E3-9099-C40C66FF867C}">
                  <a14:compatExt spid="_x0000_s18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49</xdr:row>
          <xdr:rowOff>9575</xdr:rowOff>
        </xdr:from>
        <xdr:to>
          <xdr:col>9</xdr:col>
          <xdr:colOff>134048</xdr:colOff>
          <xdr:row>49</xdr:row>
          <xdr:rowOff>239372</xdr:rowOff>
        </xdr:to>
        <xdr:sp macro="" textlink="">
          <xdr:nvSpPr>
            <xdr:cNvPr id="18966" name="Spinner 534" hidden="1">
              <a:extLst>
                <a:ext uri="{63B3BB69-23CF-44E3-9099-C40C66FF867C}">
                  <a14:compatExt spid="_x0000_s18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49</xdr:row>
          <xdr:rowOff>38299</xdr:rowOff>
        </xdr:from>
        <xdr:to>
          <xdr:col>12</xdr:col>
          <xdr:colOff>464381</xdr:colOff>
          <xdr:row>49</xdr:row>
          <xdr:rowOff>229797</xdr:rowOff>
        </xdr:to>
        <xdr:sp macro="" textlink="">
          <xdr:nvSpPr>
            <xdr:cNvPr id="18967" name="Spinner 535" hidden="1">
              <a:extLst>
                <a:ext uri="{63B3BB69-23CF-44E3-9099-C40C66FF867C}">
                  <a14:compatExt spid="_x0000_s18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49</xdr:row>
          <xdr:rowOff>38299</xdr:rowOff>
        </xdr:from>
        <xdr:to>
          <xdr:col>15</xdr:col>
          <xdr:colOff>181923</xdr:colOff>
          <xdr:row>49</xdr:row>
          <xdr:rowOff>229797</xdr:rowOff>
        </xdr:to>
        <xdr:sp macro="" textlink="">
          <xdr:nvSpPr>
            <xdr:cNvPr id="18968" name="Spinner 536" hidden="1">
              <a:extLst>
                <a:ext uri="{63B3BB69-23CF-44E3-9099-C40C66FF867C}">
                  <a14:compatExt spid="_x0000_s18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49</xdr:row>
      <xdr:rowOff>9525</xdr:rowOff>
    </xdr:from>
    <xdr:to>
      <xdr:col>7</xdr:col>
      <xdr:colOff>0</xdr:colOff>
      <xdr:row>49</xdr:row>
      <xdr:rowOff>238125</xdr:rowOff>
    </xdr:to>
    <xdr:sp macro="[0]!Medicament_23" textlink="">
      <xdr:nvSpPr>
        <xdr:cNvPr id="197" name="Rectangle 402"/>
        <xdr:cNvSpPr>
          <a:spLocks noChangeArrowheads="1"/>
        </xdr:cNvSpPr>
      </xdr:nvSpPr>
      <xdr:spPr bwMode="auto">
        <a:xfrm>
          <a:off x="1057275" y="11315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50</xdr:row>
      <xdr:rowOff>104775</xdr:rowOff>
    </xdr:from>
    <xdr:to>
      <xdr:col>7</xdr:col>
      <xdr:colOff>19050</xdr:colOff>
      <xdr:row>50</xdr:row>
      <xdr:rowOff>190500</xdr:rowOff>
    </xdr:to>
    <xdr:sp macro="[0]!opmMedDisc_23" textlink="">
      <xdr:nvSpPr>
        <xdr:cNvPr id="198" name="Rectangle 428"/>
        <xdr:cNvSpPr>
          <a:spLocks noChangeArrowheads="1"/>
        </xdr:cNvSpPr>
      </xdr:nvSpPr>
      <xdr:spPr bwMode="auto">
        <a:xfrm>
          <a:off x="209550" y="11658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8" name="Drop Down 546" hidden="1">
              <a:extLst>
                <a:ext uri="{63B3BB69-23CF-44E3-9099-C40C66FF867C}">
                  <a14:compatExt spid="_x0000_s18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51</xdr:row>
          <xdr:rowOff>28725</xdr:rowOff>
        </xdr:from>
        <xdr:to>
          <xdr:col>7</xdr:col>
          <xdr:colOff>579280</xdr:colOff>
          <xdr:row>51</xdr:row>
          <xdr:rowOff>220222</xdr:rowOff>
        </xdr:to>
        <xdr:sp macro="" textlink="">
          <xdr:nvSpPr>
            <xdr:cNvPr id="18979" name="Spinner 547" hidden="1">
              <a:extLst>
                <a:ext uri="{63B3BB69-23CF-44E3-9099-C40C66FF867C}">
                  <a14:compatExt spid="_x0000_s18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51</xdr:row>
          <xdr:rowOff>9575</xdr:rowOff>
        </xdr:from>
        <xdr:to>
          <xdr:col>9</xdr:col>
          <xdr:colOff>134048</xdr:colOff>
          <xdr:row>51</xdr:row>
          <xdr:rowOff>239372</xdr:rowOff>
        </xdr:to>
        <xdr:sp macro="" textlink="">
          <xdr:nvSpPr>
            <xdr:cNvPr id="18980" name="Spinner 548" hidden="1">
              <a:extLst>
                <a:ext uri="{63B3BB69-23CF-44E3-9099-C40C66FF867C}">
                  <a14:compatExt spid="_x0000_s18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51</xdr:row>
          <xdr:rowOff>38299</xdr:rowOff>
        </xdr:from>
        <xdr:to>
          <xdr:col>12</xdr:col>
          <xdr:colOff>464381</xdr:colOff>
          <xdr:row>51</xdr:row>
          <xdr:rowOff>229797</xdr:rowOff>
        </xdr:to>
        <xdr:sp macro="" textlink="">
          <xdr:nvSpPr>
            <xdr:cNvPr id="18981" name="Spinner 549" hidden="1">
              <a:extLst>
                <a:ext uri="{63B3BB69-23CF-44E3-9099-C40C66FF867C}">
                  <a14:compatExt spid="_x0000_s18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51</xdr:row>
          <xdr:rowOff>38299</xdr:rowOff>
        </xdr:from>
        <xdr:to>
          <xdr:col>15</xdr:col>
          <xdr:colOff>181923</xdr:colOff>
          <xdr:row>51</xdr:row>
          <xdr:rowOff>229797</xdr:rowOff>
        </xdr:to>
        <xdr:sp macro="" textlink="">
          <xdr:nvSpPr>
            <xdr:cNvPr id="18982" name="Spinner 550" hidden="1">
              <a:extLst>
                <a:ext uri="{63B3BB69-23CF-44E3-9099-C40C66FF867C}">
                  <a14:compatExt spid="_x0000_s18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51</xdr:row>
      <xdr:rowOff>9525</xdr:rowOff>
    </xdr:from>
    <xdr:to>
      <xdr:col>7</xdr:col>
      <xdr:colOff>0</xdr:colOff>
      <xdr:row>51</xdr:row>
      <xdr:rowOff>238125</xdr:rowOff>
    </xdr:to>
    <xdr:sp macro="[0]!Medicament_24" textlink="">
      <xdr:nvSpPr>
        <xdr:cNvPr id="213" name="Rectangle 402"/>
        <xdr:cNvSpPr>
          <a:spLocks noChangeArrowheads="1"/>
        </xdr:cNvSpPr>
      </xdr:nvSpPr>
      <xdr:spPr bwMode="auto">
        <a:xfrm>
          <a:off x="1057275" y="11811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52</xdr:row>
      <xdr:rowOff>104775</xdr:rowOff>
    </xdr:from>
    <xdr:to>
      <xdr:col>7</xdr:col>
      <xdr:colOff>19050</xdr:colOff>
      <xdr:row>52</xdr:row>
      <xdr:rowOff>190500</xdr:rowOff>
    </xdr:to>
    <xdr:sp macro="[0]!opmMedDisc_24" textlink="">
      <xdr:nvSpPr>
        <xdr:cNvPr id="214" name="Rectangle 428"/>
        <xdr:cNvSpPr>
          <a:spLocks noChangeArrowheads="1"/>
        </xdr:cNvSpPr>
      </xdr:nvSpPr>
      <xdr:spPr bwMode="auto">
        <a:xfrm>
          <a:off x="209550" y="12153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2" name="Drop Down 560" hidden="1">
              <a:extLst>
                <a:ext uri="{63B3BB69-23CF-44E3-9099-C40C66FF867C}">
                  <a14:compatExt spid="_x0000_s18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53</xdr:row>
          <xdr:rowOff>28725</xdr:rowOff>
        </xdr:from>
        <xdr:to>
          <xdr:col>7</xdr:col>
          <xdr:colOff>579280</xdr:colOff>
          <xdr:row>53</xdr:row>
          <xdr:rowOff>220222</xdr:rowOff>
        </xdr:to>
        <xdr:sp macro="" textlink="">
          <xdr:nvSpPr>
            <xdr:cNvPr id="18993" name="Spinner 561" hidden="1">
              <a:extLst>
                <a:ext uri="{63B3BB69-23CF-44E3-9099-C40C66FF867C}">
                  <a14:compatExt spid="_x0000_s18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53</xdr:row>
          <xdr:rowOff>9575</xdr:rowOff>
        </xdr:from>
        <xdr:to>
          <xdr:col>9</xdr:col>
          <xdr:colOff>134048</xdr:colOff>
          <xdr:row>53</xdr:row>
          <xdr:rowOff>239372</xdr:rowOff>
        </xdr:to>
        <xdr:sp macro="" textlink="">
          <xdr:nvSpPr>
            <xdr:cNvPr id="18994" name="Spinner 562" hidden="1">
              <a:extLst>
                <a:ext uri="{63B3BB69-23CF-44E3-9099-C40C66FF867C}">
                  <a14:compatExt spid="_x0000_s18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53</xdr:row>
          <xdr:rowOff>38299</xdr:rowOff>
        </xdr:from>
        <xdr:to>
          <xdr:col>12</xdr:col>
          <xdr:colOff>464381</xdr:colOff>
          <xdr:row>53</xdr:row>
          <xdr:rowOff>229797</xdr:rowOff>
        </xdr:to>
        <xdr:sp macro="" textlink="">
          <xdr:nvSpPr>
            <xdr:cNvPr id="18995" name="Spinner 563" hidden="1">
              <a:extLst>
                <a:ext uri="{63B3BB69-23CF-44E3-9099-C40C66FF867C}">
                  <a14:compatExt spid="_x0000_s18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53</xdr:row>
          <xdr:rowOff>38299</xdr:rowOff>
        </xdr:from>
        <xdr:to>
          <xdr:col>15</xdr:col>
          <xdr:colOff>181923</xdr:colOff>
          <xdr:row>53</xdr:row>
          <xdr:rowOff>229797</xdr:rowOff>
        </xdr:to>
        <xdr:sp macro="" textlink="">
          <xdr:nvSpPr>
            <xdr:cNvPr id="18996" name="Spinner 564" hidden="1">
              <a:extLst>
                <a:ext uri="{63B3BB69-23CF-44E3-9099-C40C66FF867C}">
                  <a14:compatExt spid="_x0000_s18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53</xdr:row>
      <xdr:rowOff>9525</xdr:rowOff>
    </xdr:from>
    <xdr:to>
      <xdr:col>7</xdr:col>
      <xdr:colOff>0</xdr:colOff>
      <xdr:row>53</xdr:row>
      <xdr:rowOff>238125</xdr:rowOff>
    </xdr:to>
    <xdr:sp macro="[0]!Medicament_25" textlink="">
      <xdr:nvSpPr>
        <xdr:cNvPr id="229" name="Rectangle 402"/>
        <xdr:cNvSpPr>
          <a:spLocks noChangeArrowheads="1"/>
        </xdr:cNvSpPr>
      </xdr:nvSpPr>
      <xdr:spPr bwMode="auto">
        <a:xfrm>
          <a:off x="1057275" y="12306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54</xdr:row>
      <xdr:rowOff>104775</xdr:rowOff>
    </xdr:from>
    <xdr:to>
      <xdr:col>7</xdr:col>
      <xdr:colOff>19050</xdr:colOff>
      <xdr:row>54</xdr:row>
      <xdr:rowOff>190500</xdr:rowOff>
    </xdr:to>
    <xdr:sp macro="[0]!opmMedDisc_25" textlink="">
      <xdr:nvSpPr>
        <xdr:cNvPr id="230" name="Rectangle 428"/>
        <xdr:cNvSpPr>
          <a:spLocks noChangeArrowheads="1"/>
        </xdr:cNvSpPr>
      </xdr:nvSpPr>
      <xdr:spPr bwMode="auto">
        <a:xfrm>
          <a:off x="209550" y="12649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6" name="Drop Down 574" hidden="1">
              <a:extLst>
                <a:ext uri="{63B3BB69-23CF-44E3-9099-C40C66FF867C}">
                  <a14:compatExt spid="_x0000_s19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55</xdr:row>
          <xdr:rowOff>28725</xdr:rowOff>
        </xdr:from>
        <xdr:to>
          <xdr:col>7</xdr:col>
          <xdr:colOff>579280</xdr:colOff>
          <xdr:row>55</xdr:row>
          <xdr:rowOff>220222</xdr:rowOff>
        </xdr:to>
        <xdr:sp macro="" textlink="">
          <xdr:nvSpPr>
            <xdr:cNvPr id="19007" name="Spinner 575" hidden="1">
              <a:extLst>
                <a:ext uri="{63B3BB69-23CF-44E3-9099-C40C66FF867C}">
                  <a14:compatExt spid="_x0000_s19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55</xdr:row>
          <xdr:rowOff>9575</xdr:rowOff>
        </xdr:from>
        <xdr:to>
          <xdr:col>9</xdr:col>
          <xdr:colOff>134048</xdr:colOff>
          <xdr:row>55</xdr:row>
          <xdr:rowOff>239372</xdr:rowOff>
        </xdr:to>
        <xdr:sp macro="" textlink="">
          <xdr:nvSpPr>
            <xdr:cNvPr id="19008" name="Spinner 576" hidden="1">
              <a:extLst>
                <a:ext uri="{63B3BB69-23CF-44E3-9099-C40C66FF867C}">
                  <a14:compatExt spid="_x0000_s19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55</xdr:row>
          <xdr:rowOff>38299</xdr:rowOff>
        </xdr:from>
        <xdr:to>
          <xdr:col>12</xdr:col>
          <xdr:colOff>464381</xdr:colOff>
          <xdr:row>55</xdr:row>
          <xdr:rowOff>229797</xdr:rowOff>
        </xdr:to>
        <xdr:sp macro="" textlink="">
          <xdr:nvSpPr>
            <xdr:cNvPr id="19009" name="Spinner 577" hidden="1">
              <a:extLst>
                <a:ext uri="{63B3BB69-23CF-44E3-9099-C40C66FF867C}">
                  <a14:compatExt spid="_x0000_s19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55</xdr:row>
          <xdr:rowOff>38299</xdr:rowOff>
        </xdr:from>
        <xdr:to>
          <xdr:col>15</xdr:col>
          <xdr:colOff>181923</xdr:colOff>
          <xdr:row>55</xdr:row>
          <xdr:rowOff>229797</xdr:rowOff>
        </xdr:to>
        <xdr:sp macro="" textlink="">
          <xdr:nvSpPr>
            <xdr:cNvPr id="19010" name="Spinner 578" hidden="1">
              <a:extLst>
                <a:ext uri="{63B3BB69-23CF-44E3-9099-C40C66FF867C}">
                  <a14:compatExt spid="_x0000_s19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55</xdr:row>
      <xdr:rowOff>9525</xdr:rowOff>
    </xdr:from>
    <xdr:to>
      <xdr:col>7</xdr:col>
      <xdr:colOff>0</xdr:colOff>
      <xdr:row>55</xdr:row>
      <xdr:rowOff>238125</xdr:rowOff>
    </xdr:to>
    <xdr:sp macro="[0]!Medicament_26" textlink="">
      <xdr:nvSpPr>
        <xdr:cNvPr id="245" name="Rectangle 402"/>
        <xdr:cNvSpPr>
          <a:spLocks noChangeArrowheads="1"/>
        </xdr:cNvSpPr>
      </xdr:nvSpPr>
      <xdr:spPr bwMode="auto">
        <a:xfrm>
          <a:off x="1057275" y="12801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56</xdr:row>
      <xdr:rowOff>104775</xdr:rowOff>
    </xdr:from>
    <xdr:to>
      <xdr:col>7</xdr:col>
      <xdr:colOff>19050</xdr:colOff>
      <xdr:row>56</xdr:row>
      <xdr:rowOff>190500</xdr:rowOff>
    </xdr:to>
    <xdr:sp macro="[0]!opmMedDisc_26" textlink="">
      <xdr:nvSpPr>
        <xdr:cNvPr id="246" name="Rectangle 428"/>
        <xdr:cNvSpPr>
          <a:spLocks noChangeArrowheads="1"/>
        </xdr:cNvSpPr>
      </xdr:nvSpPr>
      <xdr:spPr bwMode="auto">
        <a:xfrm>
          <a:off x="209550" y="13144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20" name="Drop Down 588" hidden="1">
              <a:extLst>
                <a:ext uri="{63B3BB69-23CF-44E3-9099-C40C66FF867C}">
                  <a14:compatExt spid="_x0000_s19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57</xdr:row>
          <xdr:rowOff>28725</xdr:rowOff>
        </xdr:from>
        <xdr:to>
          <xdr:col>7</xdr:col>
          <xdr:colOff>579280</xdr:colOff>
          <xdr:row>57</xdr:row>
          <xdr:rowOff>220222</xdr:rowOff>
        </xdr:to>
        <xdr:sp macro="" textlink="">
          <xdr:nvSpPr>
            <xdr:cNvPr id="19021" name="Spinner 589" hidden="1">
              <a:extLst>
                <a:ext uri="{63B3BB69-23CF-44E3-9099-C40C66FF867C}">
                  <a14:compatExt spid="_x0000_s19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57</xdr:row>
          <xdr:rowOff>9575</xdr:rowOff>
        </xdr:from>
        <xdr:to>
          <xdr:col>9</xdr:col>
          <xdr:colOff>134048</xdr:colOff>
          <xdr:row>57</xdr:row>
          <xdr:rowOff>239372</xdr:rowOff>
        </xdr:to>
        <xdr:sp macro="" textlink="">
          <xdr:nvSpPr>
            <xdr:cNvPr id="19022" name="Spinner 590" hidden="1">
              <a:extLst>
                <a:ext uri="{63B3BB69-23CF-44E3-9099-C40C66FF867C}">
                  <a14:compatExt spid="_x0000_s19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57</xdr:row>
          <xdr:rowOff>38299</xdr:rowOff>
        </xdr:from>
        <xdr:to>
          <xdr:col>12</xdr:col>
          <xdr:colOff>464381</xdr:colOff>
          <xdr:row>57</xdr:row>
          <xdr:rowOff>229797</xdr:rowOff>
        </xdr:to>
        <xdr:sp macro="" textlink="">
          <xdr:nvSpPr>
            <xdr:cNvPr id="19023" name="Spinner 591" hidden="1">
              <a:extLst>
                <a:ext uri="{63B3BB69-23CF-44E3-9099-C40C66FF867C}">
                  <a14:compatExt spid="_x0000_s19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57</xdr:row>
          <xdr:rowOff>38299</xdr:rowOff>
        </xdr:from>
        <xdr:to>
          <xdr:col>15</xdr:col>
          <xdr:colOff>181923</xdr:colOff>
          <xdr:row>57</xdr:row>
          <xdr:rowOff>229797</xdr:rowOff>
        </xdr:to>
        <xdr:sp macro="" textlink="">
          <xdr:nvSpPr>
            <xdr:cNvPr id="19024" name="Spinner 592" hidden="1">
              <a:extLst>
                <a:ext uri="{63B3BB69-23CF-44E3-9099-C40C66FF867C}">
                  <a14:compatExt spid="_x0000_s19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57</xdr:row>
      <xdr:rowOff>9525</xdr:rowOff>
    </xdr:from>
    <xdr:to>
      <xdr:col>7</xdr:col>
      <xdr:colOff>0</xdr:colOff>
      <xdr:row>57</xdr:row>
      <xdr:rowOff>238125</xdr:rowOff>
    </xdr:to>
    <xdr:sp macro="[0]!Medicament_27" textlink="">
      <xdr:nvSpPr>
        <xdr:cNvPr id="261" name="Rectangle 402"/>
        <xdr:cNvSpPr>
          <a:spLocks noChangeArrowheads="1"/>
        </xdr:cNvSpPr>
      </xdr:nvSpPr>
      <xdr:spPr bwMode="auto">
        <a:xfrm>
          <a:off x="1057275" y="13296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58</xdr:row>
      <xdr:rowOff>104775</xdr:rowOff>
    </xdr:from>
    <xdr:to>
      <xdr:col>7</xdr:col>
      <xdr:colOff>19050</xdr:colOff>
      <xdr:row>58</xdr:row>
      <xdr:rowOff>190500</xdr:rowOff>
    </xdr:to>
    <xdr:sp macro="[0]!opmMedDisc_27" textlink="">
      <xdr:nvSpPr>
        <xdr:cNvPr id="262" name="Rectangle 428"/>
        <xdr:cNvSpPr>
          <a:spLocks noChangeArrowheads="1"/>
        </xdr:cNvSpPr>
      </xdr:nvSpPr>
      <xdr:spPr bwMode="auto">
        <a:xfrm>
          <a:off x="209550" y="13639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4" name="Drop Down 602" hidden="1">
              <a:extLst>
                <a:ext uri="{63B3BB69-23CF-44E3-9099-C40C66FF867C}">
                  <a14:compatExt spid="_x0000_s19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59</xdr:row>
          <xdr:rowOff>28725</xdr:rowOff>
        </xdr:from>
        <xdr:to>
          <xdr:col>7</xdr:col>
          <xdr:colOff>579280</xdr:colOff>
          <xdr:row>59</xdr:row>
          <xdr:rowOff>220222</xdr:rowOff>
        </xdr:to>
        <xdr:sp macro="" textlink="">
          <xdr:nvSpPr>
            <xdr:cNvPr id="19035" name="Spinner 603" hidden="1">
              <a:extLst>
                <a:ext uri="{63B3BB69-23CF-44E3-9099-C40C66FF867C}">
                  <a14:compatExt spid="_x0000_s19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59</xdr:row>
          <xdr:rowOff>9575</xdr:rowOff>
        </xdr:from>
        <xdr:to>
          <xdr:col>9</xdr:col>
          <xdr:colOff>134048</xdr:colOff>
          <xdr:row>59</xdr:row>
          <xdr:rowOff>239372</xdr:rowOff>
        </xdr:to>
        <xdr:sp macro="" textlink="">
          <xdr:nvSpPr>
            <xdr:cNvPr id="19036" name="Spinner 604" hidden="1">
              <a:extLst>
                <a:ext uri="{63B3BB69-23CF-44E3-9099-C40C66FF867C}">
                  <a14:compatExt spid="_x0000_s19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59</xdr:row>
          <xdr:rowOff>38299</xdr:rowOff>
        </xdr:from>
        <xdr:to>
          <xdr:col>12</xdr:col>
          <xdr:colOff>464381</xdr:colOff>
          <xdr:row>59</xdr:row>
          <xdr:rowOff>229797</xdr:rowOff>
        </xdr:to>
        <xdr:sp macro="" textlink="">
          <xdr:nvSpPr>
            <xdr:cNvPr id="19037" name="Spinner 605" hidden="1">
              <a:extLst>
                <a:ext uri="{63B3BB69-23CF-44E3-9099-C40C66FF867C}">
                  <a14:compatExt spid="_x0000_s19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59</xdr:row>
          <xdr:rowOff>38299</xdr:rowOff>
        </xdr:from>
        <xdr:to>
          <xdr:col>15</xdr:col>
          <xdr:colOff>181923</xdr:colOff>
          <xdr:row>59</xdr:row>
          <xdr:rowOff>229797</xdr:rowOff>
        </xdr:to>
        <xdr:sp macro="" textlink="">
          <xdr:nvSpPr>
            <xdr:cNvPr id="19038" name="Spinner 606" hidden="1">
              <a:extLst>
                <a:ext uri="{63B3BB69-23CF-44E3-9099-C40C66FF867C}">
                  <a14:compatExt spid="_x0000_s19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59</xdr:row>
      <xdr:rowOff>9525</xdr:rowOff>
    </xdr:from>
    <xdr:to>
      <xdr:col>7</xdr:col>
      <xdr:colOff>0</xdr:colOff>
      <xdr:row>59</xdr:row>
      <xdr:rowOff>238125</xdr:rowOff>
    </xdr:to>
    <xdr:sp macro="[0]!Medicament_28" textlink="">
      <xdr:nvSpPr>
        <xdr:cNvPr id="277" name="Rectangle 402"/>
        <xdr:cNvSpPr>
          <a:spLocks noChangeArrowheads="1"/>
        </xdr:cNvSpPr>
      </xdr:nvSpPr>
      <xdr:spPr bwMode="auto">
        <a:xfrm>
          <a:off x="1057275" y="13792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60</xdr:row>
      <xdr:rowOff>104775</xdr:rowOff>
    </xdr:from>
    <xdr:to>
      <xdr:col>7</xdr:col>
      <xdr:colOff>19050</xdr:colOff>
      <xdr:row>60</xdr:row>
      <xdr:rowOff>190500</xdr:rowOff>
    </xdr:to>
    <xdr:sp macro="[0]!opmMedDisc_28" textlink="">
      <xdr:nvSpPr>
        <xdr:cNvPr id="278" name="Rectangle 428"/>
        <xdr:cNvSpPr>
          <a:spLocks noChangeArrowheads="1"/>
        </xdr:cNvSpPr>
      </xdr:nvSpPr>
      <xdr:spPr bwMode="auto">
        <a:xfrm>
          <a:off x="209550" y="14135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8" name="Drop Down 616" hidden="1">
              <a:extLst>
                <a:ext uri="{63B3BB69-23CF-44E3-9099-C40C66FF867C}">
                  <a14:compatExt spid="_x0000_s19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61</xdr:row>
          <xdr:rowOff>28725</xdr:rowOff>
        </xdr:from>
        <xdr:to>
          <xdr:col>7</xdr:col>
          <xdr:colOff>579280</xdr:colOff>
          <xdr:row>61</xdr:row>
          <xdr:rowOff>220222</xdr:rowOff>
        </xdr:to>
        <xdr:sp macro="" textlink="">
          <xdr:nvSpPr>
            <xdr:cNvPr id="19049" name="Spinner 617" hidden="1">
              <a:extLst>
                <a:ext uri="{63B3BB69-23CF-44E3-9099-C40C66FF867C}">
                  <a14:compatExt spid="_x0000_s19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61</xdr:row>
          <xdr:rowOff>9575</xdr:rowOff>
        </xdr:from>
        <xdr:to>
          <xdr:col>9</xdr:col>
          <xdr:colOff>134048</xdr:colOff>
          <xdr:row>61</xdr:row>
          <xdr:rowOff>239372</xdr:rowOff>
        </xdr:to>
        <xdr:sp macro="" textlink="">
          <xdr:nvSpPr>
            <xdr:cNvPr id="19050" name="Spinner 618" hidden="1">
              <a:extLst>
                <a:ext uri="{63B3BB69-23CF-44E3-9099-C40C66FF867C}">
                  <a14:compatExt spid="_x0000_s19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61</xdr:row>
          <xdr:rowOff>38299</xdr:rowOff>
        </xdr:from>
        <xdr:to>
          <xdr:col>12</xdr:col>
          <xdr:colOff>464381</xdr:colOff>
          <xdr:row>61</xdr:row>
          <xdr:rowOff>229797</xdr:rowOff>
        </xdr:to>
        <xdr:sp macro="" textlink="">
          <xdr:nvSpPr>
            <xdr:cNvPr id="19051" name="Spinner 619" hidden="1">
              <a:extLst>
                <a:ext uri="{63B3BB69-23CF-44E3-9099-C40C66FF867C}">
                  <a14:compatExt spid="_x0000_s19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61</xdr:row>
          <xdr:rowOff>38299</xdr:rowOff>
        </xdr:from>
        <xdr:to>
          <xdr:col>15</xdr:col>
          <xdr:colOff>181923</xdr:colOff>
          <xdr:row>61</xdr:row>
          <xdr:rowOff>229797</xdr:rowOff>
        </xdr:to>
        <xdr:sp macro="" textlink="">
          <xdr:nvSpPr>
            <xdr:cNvPr id="19052" name="Spinner 620" hidden="1">
              <a:extLst>
                <a:ext uri="{63B3BB69-23CF-44E3-9099-C40C66FF867C}">
                  <a14:compatExt spid="_x0000_s19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61</xdr:row>
      <xdr:rowOff>9525</xdr:rowOff>
    </xdr:from>
    <xdr:to>
      <xdr:col>7</xdr:col>
      <xdr:colOff>0</xdr:colOff>
      <xdr:row>61</xdr:row>
      <xdr:rowOff>238125</xdr:rowOff>
    </xdr:to>
    <xdr:sp macro="[0]!Medicament_29" textlink="">
      <xdr:nvSpPr>
        <xdr:cNvPr id="293" name="Rectangle 402"/>
        <xdr:cNvSpPr>
          <a:spLocks noChangeArrowheads="1"/>
        </xdr:cNvSpPr>
      </xdr:nvSpPr>
      <xdr:spPr bwMode="auto">
        <a:xfrm>
          <a:off x="1057275" y="14287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62</xdr:row>
      <xdr:rowOff>104775</xdr:rowOff>
    </xdr:from>
    <xdr:to>
      <xdr:col>7</xdr:col>
      <xdr:colOff>19050</xdr:colOff>
      <xdr:row>62</xdr:row>
      <xdr:rowOff>190500</xdr:rowOff>
    </xdr:to>
    <xdr:sp macro="[0]!opmMedDisc_29" textlink="">
      <xdr:nvSpPr>
        <xdr:cNvPr id="294" name="Rectangle 428"/>
        <xdr:cNvSpPr>
          <a:spLocks noChangeArrowheads="1"/>
        </xdr:cNvSpPr>
      </xdr:nvSpPr>
      <xdr:spPr bwMode="auto">
        <a:xfrm>
          <a:off x="209550" y="14630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2" name="Drop Down 630" hidden="1">
              <a:extLst>
                <a:ext uri="{63B3BB69-23CF-44E3-9099-C40C66FF867C}">
                  <a14:compatExt spid="_x0000_s19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63</xdr:row>
          <xdr:rowOff>28725</xdr:rowOff>
        </xdr:from>
        <xdr:to>
          <xdr:col>7</xdr:col>
          <xdr:colOff>579280</xdr:colOff>
          <xdr:row>63</xdr:row>
          <xdr:rowOff>220222</xdr:rowOff>
        </xdr:to>
        <xdr:sp macro="" textlink="">
          <xdr:nvSpPr>
            <xdr:cNvPr id="19063" name="Spinner 631" hidden="1">
              <a:extLst>
                <a:ext uri="{63B3BB69-23CF-44E3-9099-C40C66FF867C}">
                  <a14:compatExt spid="_x0000_s19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63</xdr:row>
          <xdr:rowOff>9575</xdr:rowOff>
        </xdr:from>
        <xdr:to>
          <xdr:col>9</xdr:col>
          <xdr:colOff>134048</xdr:colOff>
          <xdr:row>63</xdr:row>
          <xdr:rowOff>239372</xdr:rowOff>
        </xdr:to>
        <xdr:sp macro="" textlink="">
          <xdr:nvSpPr>
            <xdr:cNvPr id="19064" name="Spinner 632" hidden="1">
              <a:extLst>
                <a:ext uri="{63B3BB69-23CF-44E3-9099-C40C66FF867C}">
                  <a14:compatExt spid="_x0000_s19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63</xdr:row>
          <xdr:rowOff>38299</xdr:rowOff>
        </xdr:from>
        <xdr:to>
          <xdr:col>12</xdr:col>
          <xdr:colOff>464381</xdr:colOff>
          <xdr:row>63</xdr:row>
          <xdr:rowOff>229797</xdr:rowOff>
        </xdr:to>
        <xdr:sp macro="" textlink="">
          <xdr:nvSpPr>
            <xdr:cNvPr id="19065" name="Spinner 633" hidden="1">
              <a:extLst>
                <a:ext uri="{63B3BB69-23CF-44E3-9099-C40C66FF867C}">
                  <a14:compatExt spid="_x0000_s19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63</xdr:row>
          <xdr:rowOff>38299</xdr:rowOff>
        </xdr:from>
        <xdr:to>
          <xdr:col>15</xdr:col>
          <xdr:colOff>181923</xdr:colOff>
          <xdr:row>63</xdr:row>
          <xdr:rowOff>229797</xdr:rowOff>
        </xdr:to>
        <xdr:sp macro="" textlink="">
          <xdr:nvSpPr>
            <xdr:cNvPr id="19066" name="Spinner 634" hidden="1">
              <a:extLst>
                <a:ext uri="{63B3BB69-23CF-44E3-9099-C40C66FF867C}">
                  <a14:compatExt spid="_x0000_s19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63</xdr:row>
      <xdr:rowOff>9525</xdr:rowOff>
    </xdr:from>
    <xdr:to>
      <xdr:col>7</xdr:col>
      <xdr:colOff>0</xdr:colOff>
      <xdr:row>63</xdr:row>
      <xdr:rowOff>238125</xdr:rowOff>
    </xdr:to>
    <xdr:sp macro="[0]!Medicament_30" textlink="">
      <xdr:nvSpPr>
        <xdr:cNvPr id="309" name="Rectangle 402"/>
        <xdr:cNvSpPr>
          <a:spLocks noChangeArrowheads="1"/>
        </xdr:cNvSpPr>
      </xdr:nvSpPr>
      <xdr:spPr bwMode="auto">
        <a:xfrm>
          <a:off x="1057275" y="14782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64</xdr:row>
      <xdr:rowOff>104775</xdr:rowOff>
    </xdr:from>
    <xdr:to>
      <xdr:col>7</xdr:col>
      <xdr:colOff>19050</xdr:colOff>
      <xdr:row>64</xdr:row>
      <xdr:rowOff>190500</xdr:rowOff>
    </xdr:to>
    <xdr:sp macro="[0]!opmMedDisc_30" textlink="">
      <xdr:nvSpPr>
        <xdr:cNvPr id="310" name="Rectangle 428"/>
        <xdr:cNvSpPr>
          <a:spLocks noChangeArrowheads="1"/>
        </xdr:cNvSpPr>
      </xdr:nvSpPr>
      <xdr:spPr bwMode="auto">
        <a:xfrm>
          <a:off x="209550" y="15125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19</xdr:row>
          <xdr:rowOff>19150</xdr:rowOff>
        </xdr:from>
        <xdr:to>
          <xdr:col>3</xdr:col>
          <xdr:colOff>473956</xdr:colOff>
          <xdr:row>19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19</xdr:row>
          <xdr:rowOff>19150</xdr:rowOff>
        </xdr:from>
        <xdr:to>
          <xdr:col>6</xdr:col>
          <xdr:colOff>411719</xdr:colOff>
          <xdr:row>19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21</xdr:row>
          <xdr:rowOff>28725</xdr:rowOff>
        </xdr:from>
        <xdr:to>
          <xdr:col>3</xdr:col>
          <xdr:colOff>0</xdr:colOff>
          <xdr:row>22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24</xdr:row>
          <xdr:rowOff>28725</xdr:rowOff>
        </xdr:from>
        <xdr:to>
          <xdr:col>3</xdr:col>
          <xdr:colOff>0</xdr:colOff>
          <xdr:row>24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26</xdr:row>
          <xdr:rowOff>28725</xdr:rowOff>
        </xdr:from>
        <xdr:to>
          <xdr:col>3</xdr:col>
          <xdr:colOff>0</xdr:colOff>
          <xdr:row>26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28</xdr:row>
          <xdr:rowOff>28725</xdr:rowOff>
        </xdr:from>
        <xdr:to>
          <xdr:col>3</xdr:col>
          <xdr:colOff>0</xdr:colOff>
          <xdr:row>28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29</xdr:row>
          <xdr:rowOff>28725</xdr:rowOff>
        </xdr:from>
        <xdr:to>
          <xdr:col>3</xdr:col>
          <xdr:colOff>0</xdr:colOff>
          <xdr:row>29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694178</xdr:colOff>
          <xdr:row>8</xdr:row>
          <xdr:rowOff>67024</xdr:rowOff>
        </xdr:from>
        <xdr:to>
          <xdr:col>3</xdr:col>
          <xdr:colOff>818651</xdr:colOff>
          <xdr:row>8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28725</xdr:rowOff>
        </xdr:from>
        <xdr:to>
          <xdr:col>5</xdr:col>
          <xdr:colOff>1713902</xdr:colOff>
          <xdr:row>8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16</xdr:row>
          <xdr:rowOff>67024</xdr:rowOff>
        </xdr:from>
        <xdr:to>
          <xdr:col>3</xdr:col>
          <xdr:colOff>933550</xdr:colOff>
          <xdr:row>16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19</xdr:row>
          <xdr:rowOff>28725</xdr:rowOff>
        </xdr:from>
        <xdr:to>
          <xdr:col>5</xdr:col>
          <xdr:colOff>229797</xdr:colOff>
          <xdr:row>19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28725</xdr:rowOff>
        </xdr:from>
        <xdr:to>
          <xdr:col>5</xdr:col>
          <xdr:colOff>229797</xdr:colOff>
          <xdr:row>22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19</xdr:row>
          <xdr:rowOff>47874</xdr:rowOff>
        </xdr:from>
        <xdr:to>
          <xdr:col>2</xdr:col>
          <xdr:colOff>124473</xdr:colOff>
          <xdr:row>20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22</xdr:row>
          <xdr:rowOff>47874</xdr:rowOff>
        </xdr:from>
        <xdr:to>
          <xdr:col>2</xdr:col>
          <xdr:colOff>124473</xdr:colOff>
          <xdr:row>23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26</xdr:row>
          <xdr:rowOff>76599</xdr:rowOff>
        </xdr:from>
        <xdr:to>
          <xdr:col>4</xdr:col>
          <xdr:colOff>134048</xdr:colOff>
          <xdr:row>26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28</xdr:row>
          <xdr:rowOff>47874</xdr:rowOff>
        </xdr:from>
        <xdr:to>
          <xdr:col>2</xdr:col>
          <xdr:colOff>124473</xdr:colOff>
          <xdr:row>29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28</xdr:row>
          <xdr:rowOff>28725</xdr:rowOff>
        </xdr:from>
        <xdr:to>
          <xdr:col>5</xdr:col>
          <xdr:colOff>229797</xdr:colOff>
          <xdr:row>28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29</xdr:row>
          <xdr:rowOff>28725</xdr:rowOff>
        </xdr:from>
        <xdr:to>
          <xdr:col>5</xdr:col>
          <xdr:colOff>229797</xdr:colOff>
          <xdr:row>29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9575</xdr:rowOff>
        </xdr:from>
        <xdr:to>
          <xdr:col>5</xdr:col>
          <xdr:colOff>19150</xdr:colOff>
          <xdr:row>7</xdr:row>
          <xdr:rowOff>9575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23</xdr:row>
          <xdr:rowOff>47874</xdr:rowOff>
        </xdr:from>
        <xdr:to>
          <xdr:col>2</xdr:col>
          <xdr:colOff>124473</xdr:colOff>
          <xdr:row>24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25</xdr:row>
          <xdr:rowOff>95749</xdr:rowOff>
        </xdr:from>
        <xdr:to>
          <xdr:col>2</xdr:col>
          <xdr:colOff>114898</xdr:colOff>
          <xdr:row>26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28725</xdr:rowOff>
        </xdr:from>
        <xdr:to>
          <xdr:col>5</xdr:col>
          <xdr:colOff>229797</xdr:colOff>
          <xdr:row>23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124473</xdr:rowOff>
        </xdr:from>
        <xdr:to>
          <xdr:col>5</xdr:col>
          <xdr:colOff>229797</xdr:colOff>
          <xdr:row>26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17</xdr:row>
          <xdr:rowOff>67024</xdr:rowOff>
        </xdr:from>
        <xdr:to>
          <xdr:col>3</xdr:col>
          <xdr:colOff>440444</xdr:colOff>
          <xdr:row>17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18</xdr:row>
          <xdr:rowOff>67024</xdr:rowOff>
        </xdr:from>
        <xdr:to>
          <xdr:col>3</xdr:col>
          <xdr:colOff>430869</xdr:colOff>
          <xdr:row>18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17</xdr:row>
          <xdr:rowOff>76599</xdr:rowOff>
        </xdr:from>
        <xdr:to>
          <xdr:col>5</xdr:col>
          <xdr:colOff>220222</xdr:colOff>
          <xdr:row>17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28725</xdr:rowOff>
        </xdr:from>
        <xdr:to>
          <xdr:col>5</xdr:col>
          <xdr:colOff>1713902</xdr:colOff>
          <xdr:row>10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17</xdr:row>
          <xdr:rowOff>76599</xdr:rowOff>
        </xdr:from>
        <xdr:to>
          <xdr:col>6</xdr:col>
          <xdr:colOff>655879</xdr:colOff>
          <xdr:row>17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17</xdr:row>
      <xdr:rowOff>114300</xdr:rowOff>
    </xdr:from>
    <xdr:to>
      <xdr:col>4</xdr:col>
      <xdr:colOff>533400</xdr:colOff>
      <xdr:row>18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11</xdr:row>
          <xdr:rowOff>76599</xdr:rowOff>
        </xdr:from>
        <xdr:to>
          <xdr:col>2</xdr:col>
          <xdr:colOff>856951</xdr:colOff>
          <xdr:row>12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11</xdr:row>
          <xdr:rowOff>67024</xdr:rowOff>
        </xdr:from>
        <xdr:to>
          <xdr:col>3</xdr:col>
          <xdr:colOff>799502</xdr:colOff>
          <xdr:row>11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28725</xdr:rowOff>
        </xdr:from>
        <xdr:to>
          <xdr:col>5</xdr:col>
          <xdr:colOff>1713902</xdr:colOff>
          <xdr:row>11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12</xdr:row>
          <xdr:rowOff>76599</xdr:rowOff>
        </xdr:from>
        <xdr:to>
          <xdr:col>2</xdr:col>
          <xdr:colOff>856951</xdr:colOff>
          <xdr:row>13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12</xdr:row>
          <xdr:rowOff>67024</xdr:rowOff>
        </xdr:from>
        <xdr:to>
          <xdr:col>3</xdr:col>
          <xdr:colOff>799502</xdr:colOff>
          <xdr:row>12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28725</xdr:rowOff>
        </xdr:from>
        <xdr:to>
          <xdr:col>5</xdr:col>
          <xdr:colOff>1713902</xdr:colOff>
          <xdr:row>12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16</xdr:row>
          <xdr:rowOff>67024</xdr:rowOff>
        </xdr:from>
        <xdr:to>
          <xdr:col>8</xdr:col>
          <xdr:colOff>933550</xdr:colOff>
          <xdr:row>16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19</xdr:row>
          <xdr:rowOff>38299</xdr:rowOff>
        </xdr:from>
        <xdr:to>
          <xdr:col>10</xdr:col>
          <xdr:colOff>450019</xdr:colOff>
          <xdr:row>19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20</xdr:row>
          <xdr:rowOff>28725</xdr:rowOff>
        </xdr:from>
        <xdr:to>
          <xdr:col>10</xdr:col>
          <xdr:colOff>459594</xdr:colOff>
          <xdr:row>20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19</xdr:row>
          <xdr:rowOff>47874</xdr:rowOff>
        </xdr:from>
        <xdr:to>
          <xdr:col>7</xdr:col>
          <xdr:colOff>335120</xdr:colOff>
          <xdr:row>20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20</xdr:row>
          <xdr:rowOff>47874</xdr:rowOff>
        </xdr:from>
        <xdr:to>
          <xdr:col>7</xdr:col>
          <xdr:colOff>335120</xdr:colOff>
          <xdr:row>21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18</xdr:row>
          <xdr:rowOff>67024</xdr:rowOff>
        </xdr:from>
        <xdr:to>
          <xdr:col>8</xdr:col>
          <xdr:colOff>569705</xdr:colOff>
          <xdr:row>18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6</xdr:row>
      <xdr:rowOff>18055</xdr:rowOff>
    </xdr:from>
    <xdr:to>
      <xdr:col>14</xdr:col>
      <xdr:colOff>568178</xdr:colOff>
      <xdr:row>18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19</xdr:row>
      <xdr:rowOff>76200</xdr:rowOff>
    </xdr:from>
    <xdr:to>
      <xdr:col>5</xdr:col>
      <xdr:colOff>0</xdr:colOff>
      <xdr:row>20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20</xdr:row>
      <xdr:rowOff>85725</xdr:rowOff>
    </xdr:from>
    <xdr:to>
      <xdr:col>5</xdr:col>
      <xdr:colOff>28575</xdr:colOff>
      <xdr:row>22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76599</xdr:colOff>
          <xdr:row>1</xdr:row>
          <xdr:rowOff>143623</xdr:rowOff>
        </xdr:from>
        <xdr:to>
          <xdr:col>9</xdr:col>
          <xdr:colOff>210647</xdr:colOff>
          <xdr:row>3</xdr:row>
          <xdr:rowOff>28725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19044</xdr:colOff>
      <xdr:row>1</xdr:row>
      <xdr:rowOff>27633</xdr:rowOff>
    </xdr:from>
    <xdr:to>
      <xdr:col>9</xdr:col>
      <xdr:colOff>383506</xdr:colOff>
      <xdr:row>1</xdr:row>
      <xdr:rowOff>146538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7052890" y="341644"/>
          <a:ext cx="97155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0</xdr:colOff>
      <xdr:row>3</xdr:row>
      <xdr:rowOff>10466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2421" y="500533"/>
          <a:ext cx="578513" cy="137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14</xdr:row>
      <xdr:rowOff>38100</xdr:rowOff>
    </xdr:from>
    <xdr:to>
      <xdr:col>9</xdr:col>
      <xdr:colOff>0</xdr:colOff>
      <xdr:row>14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31</xdr:row>
      <xdr:rowOff>57150</xdr:rowOff>
    </xdr:from>
    <xdr:to>
      <xdr:col>9</xdr:col>
      <xdr:colOff>0</xdr:colOff>
      <xdr:row>32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22</xdr:row>
      <xdr:rowOff>57150</xdr:rowOff>
    </xdr:from>
    <xdr:to>
      <xdr:col>5</xdr:col>
      <xdr:colOff>19050</xdr:colOff>
      <xdr:row>22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23</xdr:row>
      <xdr:rowOff>57150</xdr:rowOff>
    </xdr:from>
    <xdr:to>
      <xdr:col>5</xdr:col>
      <xdr:colOff>28575</xdr:colOff>
      <xdr:row>23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6</xdr:row>
      <xdr:rowOff>38100</xdr:rowOff>
    </xdr:from>
    <xdr:to>
      <xdr:col>2</xdr:col>
      <xdr:colOff>571500</xdr:colOff>
      <xdr:row>8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15</xdr:row>
      <xdr:rowOff>123825</xdr:rowOff>
    </xdr:from>
    <xdr:to>
      <xdr:col>2</xdr:col>
      <xdr:colOff>476250</xdr:colOff>
      <xdr:row>16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8</xdr:row>
      <xdr:rowOff>38100</xdr:rowOff>
    </xdr:from>
    <xdr:to>
      <xdr:col>2</xdr:col>
      <xdr:colOff>571500</xdr:colOff>
      <xdr:row>10</xdr:row>
      <xdr:rowOff>38100</xdr:rowOff>
    </xdr:to>
    <xdr:sp macro="[0]!gaNaarVoeding" textlink="">
      <xdr:nvSpPr>
        <xdr:cNvPr id="57" name="Rectangle 85"/>
        <xdr:cNvSpPr>
          <a:spLocks noChangeArrowheads="1"/>
        </xdr:cNvSpPr>
      </xdr:nvSpPr>
      <xdr:spPr bwMode="auto">
        <a:xfrm>
          <a:off x="385396" y="980133"/>
          <a:ext cx="552450" cy="4710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2" name="Check Box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229797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19</xdr:row>
          <xdr:rowOff>0</xdr:rowOff>
        </xdr:from>
        <xdr:to>
          <xdr:col>2</xdr:col>
          <xdr:colOff>617579</xdr:colOff>
          <xdr:row>19</xdr:row>
          <xdr:rowOff>220222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229797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229797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229797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17</xdr:row>
          <xdr:rowOff>0</xdr:rowOff>
        </xdr:from>
        <xdr:to>
          <xdr:col>2</xdr:col>
          <xdr:colOff>617579</xdr:colOff>
          <xdr:row>17</xdr:row>
          <xdr:rowOff>220222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229797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19</xdr:row>
          <xdr:rowOff>0</xdr:rowOff>
        </xdr:from>
        <xdr:to>
          <xdr:col>6</xdr:col>
          <xdr:colOff>617579</xdr:colOff>
          <xdr:row>19</xdr:row>
          <xdr:rowOff>220222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229797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229797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229797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17</xdr:row>
          <xdr:rowOff>0</xdr:rowOff>
        </xdr:from>
        <xdr:to>
          <xdr:col>6</xdr:col>
          <xdr:colOff>617579</xdr:colOff>
          <xdr:row>17</xdr:row>
          <xdr:rowOff>220222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229797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19</xdr:row>
          <xdr:rowOff>0</xdr:rowOff>
        </xdr:from>
        <xdr:to>
          <xdr:col>8</xdr:col>
          <xdr:colOff>617579</xdr:colOff>
          <xdr:row>19</xdr:row>
          <xdr:rowOff>220222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229797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229797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229797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17</xdr:row>
          <xdr:rowOff>0</xdr:rowOff>
        </xdr:from>
        <xdr:to>
          <xdr:col>8</xdr:col>
          <xdr:colOff>617579</xdr:colOff>
          <xdr:row>17</xdr:row>
          <xdr:rowOff>220222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229797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19</xdr:row>
          <xdr:rowOff>0</xdr:rowOff>
        </xdr:from>
        <xdr:to>
          <xdr:col>12</xdr:col>
          <xdr:colOff>617579</xdr:colOff>
          <xdr:row>19</xdr:row>
          <xdr:rowOff>220222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229797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229797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229797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17</xdr:row>
          <xdr:rowOff>0</xdr:rowOff>
        </xdr:from>
        <xdr:to>
          <xdr:col>12</xdr:col>
          <xdr:colOff>617579</xdr:colOff>
          <xdr:row>17</xdr:row>
          <xdr:rowOff>220222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229797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19</xdr:row>
          <xdr:rowOff>0</xdr:rowOff>
        </xdr:from>
        <xdr:to>
          <xdr:col>4</xdr:col>
          <xdr:colOff>617579</xdr:colOff>
          <xdr:row>19</xdr:row>
          <xdr:rowOff>220222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229797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229797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229797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17</xdr:row>
          <xdr:rowOff>0</xdr:rowOff>
        </xdr:from>
        <xdr:to>
          <xdr:col>4</xdr:col>
          <xdr:colOff>617579</xdr:colOff>
          <xdr:row>17</xdr:row>
          <xdr:rowOff>220222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12</xdr:col>
      <xdr:colOff>704850</xdr:colOff>
      <xdr:row>43</xdr:row>
      <xdr:rowOff>0</xdr:rowOff>
    </xdr:to>
    <xdr:sp macro="[0]!opmOverig_1" textlink="">
      <xdr:nvSpPr>
        <xdr:cNvPr id="82" name="Rectangle 123"/>
        <xdr:cNvSpPr>
          <a:spLocks noChangeArrowheads="1"/>
        </xdr:cNvSpPr>
      </xdr:nvSpPr>
      <xdr:spPr bwMode="auto">
        <a:xfrm>
          <a:off x="256054" y="11305054"/>
          <a:ext cx="7441267" cy="14735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19150</xdr:rowOff>
        </xdr:from>
        <xdr:to>
          <xdr:col>2</xdr:col>
          <xdr:colOff>627154</xdr:colOff>
          <xdr:row>32</xdr:row>
          <xdr:rowOff>239372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19150</xdr:rowOff>
        </xdr:from>
        <xdr:to>
          <xdr:col>6</xdr:col>
          <xdr:colOff>627154</xdr:colOff>
          <xdr:row>32</xdr:row>
          <xdr:rowOff>239372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19150</xdr:rowOff>
        </xdr:from>
        <xdr:to>
          <xdr:col>8</xdr:col>
          <xdr:colOff>627154</xdr:colOff>
          <xdr:row>32</xdr:row>
          <xdr:rowOff>239372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19150</xdr:rowOff>
        </xdr:from>
        <xdr:to>
          <xdr:col>12</xdr:col>
          <xdr:colOff>627154</xdr:colOff>
          <xdr:row>32</xdr:row>
          <xdr:rowOff>239372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19150</xdr:rowOff>
        </xdr:from>
        <xdr:to>
          <xdr:col>4</xdr:col>
          <xdr:colOff>627154</xdr:colOff>
          <xdr:row>32</xdr:row>
          <xdr:rowOff>239372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229797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229797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229797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229797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229797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229797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229797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229797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229797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229797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229797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229797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229797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229797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229797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229797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229797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229797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229797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229797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229797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229797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229797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229797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229797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19150</xdr:rowOff>
        </xdr:from>
        <xdr:to>
          <xdr:col>2</xdr:col>
          <xdr:colOff>627154</xdr:colOff>
          <xdr:row>23</xdr:row>
          <xdr:rowOff>239372</xdr:rowOff>
        </xdr:to>
        <xdr:sp macro="" textlink="">
          <xdr:nvSpPr>
            <xdr:cNvPr id="114878" name="Check Box 190" descr="Fosfaat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19150</xdr:rowOff>
        </xdr:from>
        <xdr:to>
          <xdr:col>6</xdr:col>
          <xdr:colOff>627154</xdr:colOff>
          <xdr:row>23</xdr:row>
          <xdr:rowOff>239372</xdr:rowOff>
        </xdr:to>
        <xdr:sp macro="" textlink="">
          <xdr:nvSpPr>
            <xdr:cNvPr id="114879" name="Check Box 191" descr="Fosfaat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19150</xdr:rowOff>
        </xdr:from>
        <xdr:to>
          <xdr:col>8</xdr:col>
          <xdr:colOff>627154</xdr:colOff>
          <xdr:row>23</xdr:row>
          <xdr:rowOff>239372</xdr:rowOff>
        </xdr:to>
        <xdr:sp macro="" textlink="">
          <xdr:nvSpPr>
            <xdr:cNvPr id="114880" name="Check Box 192" descr="Fosfaat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19150</xdr:rowOff>
        </xdr:from>
        <xdr:to>
          <xdr:col>12</xdr:col>
          <xdr:colOff>627154</xdr:colOff>
          <xdr:row>23</xdr:row>
          <xdr:rowOff>239372</xdr:rowOff>
        </xdr:to>
        <xdr:sp macro="" textlink="">
          <xdr:nvSpPr>
            <xdr:cNvPr id="114881" name="Check Box 193" descr="Fosfaat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19150</xdr:rowOff>
        </xdr:from>
        <xdr:to>
          <xdr:col>4</xdr:col>
          <xdr:colOff>627154</xdr:colOff>
          <xdr:row>23</xdr:row>
          <xdr:rowOff>239372</xdr:rowOff>
        </xdr:to>
        <xdr:sp macro="" textlink="">
          <xdr:nvSpPr>
            <xdr:cNvPr id="114882" name="Check Box 194" descr="Fosfaat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19150</xdr:rowOff>
        </xdr:from>
        <xdr:to>
          <xdr:col>2</xdr:col>
          <xdr:colOff>627154</xdr:colOff>
          <xdr:row>37</xdr:row>
          <xdr:rowOff>239372</xdr:rowOff>
        </xdr:to>
        <xdr:sp macro="" textlink="">
          <xdr:nvSpPr>
            <xdr:cNvPr id="114885" name="Check Box 197" descr="d-dimeren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19150</xdr:rowOff>
        </xdr:from>
        <xdr:to>
          <xdr:col>6</xdr:col>
          <xdr:colOff>627154</xdr:colOff>
          <xdr:row>37</xdr:row>
          <xdr:rowOff>239372</xdr:rowOff>
        </xdr:to>
        <xdr:sp macro="" textlink="">
          <xdr:nvSpPr>
            <xdr:cNvPr id="114886" name="Check Box 198" descr="d-dimeren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19150</xdr:rowOff>
        </xdr:from>
        <xdr:to>
          <xdr:col>8</xdr:col>
          <xdr:colOff>627154</xdr:colOff>
          <xdr:row>37</xdr:row>
          <xdr:rowOff>239372</xdr:rowOff>
        </xdr:to>
        <xdr:sp macro="" textlink="">
          <xdr:nvSpPr>
            <xdr:cNvPr id="114887" name="Check Box 199" descr="d-dimeren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19150</xdr:rowOff>
        </xdr:from>
        <xdr:to>
          <xdr:col>12</xdr:col>
          <xdr:colOff>627154</xdr:colOff>
          <xdr:row>37</xdr:row>
          <xdr:rowOff>239372</xdr:rowOff>
        </xdr:to>
        <xdr:sp macro="" textlink="">
          <xdr:nvSpPr>
            <xdr:cNvPr id="114888" name="Check Box 200" descr="d-dimeren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19150</xdr:rowOff>
        </xdr:from>
        <xdr:to>
          <xdr:col>4</xdr:col>
          <xdr:colOff>627154</xdr:colOff>
          <xdr:row>37</xdr:row>
          <xdr:rowOff>239372</xdr:rowOff>
        </xdr:to>
        <xdr:sp macro="" textlink="">
          <xdr:nvSpPr>
            <xdr:cNvPr id="114889" name="Check Box 201" descr="d-dimeren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114892" name="Check Box 204" descr="ACT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143623</xdr:colOff>
          <xdr:row>2</xdr:row>
          <xdr:rowOff>57449</xdr:rowOff>
        </xdr:from>
        <xdr:to>
          <xdr:col>10</xdr:col>
          <xdr:colOff>143623</xdr:colOff>
          <xdr:row>3</xdr:row>
          <xdr:rowOff>9575</xdr:rowOff>
        </xdr:to>
        <xdr:sp macro="" textlink="">
          <xdr:nvSpPr>
            <xdr:cNvPr id="114905" name="Spinner 217" hidden="1">
              <a:extLst>
                <a:ext uri="{63B3BB69-23CF-44E3-9099-C40C66FF867C}">
                  <a14:compatExt spid="_x0000_s114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161" name="Rectangle 113"/>
        <xdr:cNvSpPr>
          <a:spLocks noChangeArrowheads="1"/>
        </xdr:cNvSpPr>
      </xdr:nvSpPr>
      <xdr:spPr bwMode="auto">
        <a:xfrm>
          <a:off x="8410575" y="14287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162" name="Rectangle 114"/>
        <xdr:cNvSpPr>
          <a:spLocks noChangeArrowheads="1"/>
        </xdr:cNvSpPr>
      </xdr:nvSpPr>
      <xdr:spPr bwMode="auto">
        <a:xfrm>
          <a:off x="84201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7324725" y="419100"/>
          <a:ext cx="9525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2343150" y="381000"/>
          <a:ext cx="21145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7</xdr:row>
          <xdr:rowOff>19150</xdr:rowOff>
        </xdr:from>
        <xdr:to>
          <xdr:col>5</xdr:col>
          <xdr:colOff>1230371</xdr:colOff>
          <xdr:row>7</xdr:row>
          <xdr:rowOff>220222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10</xdr:row>
          <xdr:rowOff>28725</xdr:rowOff>
        </xdr:from>
        <xdr:to>
          <xdr:col>2</xdr:col>
          <xdr:colOff>713328</xdr:colOff>
          <xdr:row>10</xdr:row>
          <xdr:rowOff>210647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28725</xdr:rowOff>
        </xdr:from>
        <xdr:to>
          <xdr:col>1</xdr:col>
          <xdr:colOff>1560704</xdr:colOff>
          <xdr:row>25</xdr:row>
          <xdr:rowOff>220222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19150</xdr:rowOff>
        </xdr:from>
        <xdr:to>
          <xdr:col>1</xdr:col>
          <xdr:colOff>1230371</xdr:colOff>
          <xdr:row>28</xdr:row>
          <xdr:rowOff>220222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28</xdr:row>
          <xdr:rowOff>9575</xdr:rowOff>
        </xdr:from>
        <xdr:to>
          <xdr:col>2</xdr:col>
          <xdr:colOff>1029298</xdr:colOff>
          <xdr:row>28</xdr:row>
          <xdr:rowOff>220222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28</xdr:row>
          <xdr:rowOff>9575</xdr:rowOff>
        </xdr:from>
        <xdr:to>
          <xdr:col>3</xdr:col>
          <xdr:colOff>923975</xdr:colOff>
          <xdr:row>28</xdr:row>
          <xdr:rowOff>220222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29</xdr:row>
          <xdr:rowOff>9575</xdr:rowOff>
        </xdr:from>
        <xdr:to>
          <xdr:col>2</xdr:col>
          <xdr:colOff>1029298</xdr:colOff>
          <xdr:row>29</xdr:row>
          <xdr:rowOff>220222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29</xdr:row>
          <xdr:rowOff>9575</xdr:rowOff>
        </xdr:from>
        <xdr:to>
          <xdr:col>3</xdr:col>
          <xdr:colOff>923975</xdr:colOff>
          <xdr:row>29</xdr:row>
          <xdr:rowOff>220222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14</xdr:row>
          <xdr:rowOff>19150</xdr:rowOff>
        </xdr:from>
        <xdr:to>
          <xdr:col>1</xdr:col>
          <xdr:colOff>1493680</xdr:colOff>
          <xdr:row>14</xdr:row>
          <xdr:rowOff>220222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10</xdr:row>
          <xdr:rowOff>19150</xdr:rowOff>
        </xdr:from>
        <xdr:to>
          <xdr:col>3</xdr:col>
          <xdr:colOff>923975</xdr:colOff>
          <xdr:row>10</xdr:row>
          <xdr:rowOff>220222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7</xdr:col>
      <xdr:colOff>771524</xdr:colOff>
      <xdr:row>19</xdr:row>
      <xdr:rowOff>209549</xdr:rowOff>
    </xdr:to>
    <xdr:sp macro="[0]!MedTekstAanvullendeAfsprakenOverigePed" textlink="">
      <xdr:nvSpPr>
        <xdr:cNvPr id="53" name="Rectangle 165"/>
        <xdr:cNvSpPr>
          <a:spLocks noChangeArrowheads="1"/>
        </xdr:cNvSpPr>
      </xdr:nvSpPr>
      <xdr:spPr bwMode="auto">
        <a:xfrm>
          <a:off x="5543549" y="2524124"/>
          <a:ext cx="3648075" cy="657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28</xdr:row>
          <xdr:rowOff>9575</xdr:rowOff>
        </xdr:from>
        <xdr:to>
          <xdr:col>4</xdr:col>
          <xdr:colOff>923975</xdr:colOff>
          <xdr:row>28</xdr:row>
          <xdr:rowOff>220222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29</xdr:row>
          <xdr:rowOff>9575</xdr:rowOff>
        </xdr:from>
        <xdr:to>
          <xdr:col>4</xdr:col>
          <xdr:colOff>923975</xdr:colOff>
          <xdr:row>29</xdr:row>
          <xdr:rowOff>220222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9575</xdr:rowOff>
        </xdr:from>
        <xdr:to>
          <xdr:col>2</xdr:col>
          <xdr:colOff>1029298</xdr:colOff>
          <xdr:row>30</xdr:row>
          <xdr:rowOff>220222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30</xdr:row>
          <xdr:rowOff>9575</xdr:rowOff>
        </xdr:from>
        <xdr:to>
          <xdr:col>3</xdr:col>
          <xdr:colOff>923975</xdr:colOff>
          <xdr:row>30</xdr:row>
          <xdr:rowOff>220222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30</xdr:row>
          <xdr:rowOff>9575</xdr:rowOff>
        </xdr:from>
        <xdr:to>
          <xdr:col>4</xdr:col>
          <xdr:colOff>923975</xdr:colOff>
          <xdr:row>30</xdr:row>
          <xdr:rowOff>220222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33</xdr:row>
          <xdr:rowOff>19150</xdr:rowOff>
        </xdr:from>
        <xdr:to>
          <xdr:col>1</xdr:col>
          <xdr:colOff>1230371</xdr:colOff>
          <xdr:row>33</xdr:row>
          <xdr:rowOff>220222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32</xdr:row>
          <xdr:rowOff>19150</xdr:rowOff>
        </xdr:from>
        <xdr:to>
          <xdr:col>1</xdr:col>
          <xdr:colOff>1230371</xdr:colOff>
          <xdr:row>32</xdr:row>
          <xdr:rowOff>220222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31</xdr:row>
          <xdr:rowOff>19150</xdr:rowOff>
        </xdr:from>
        <xdr:to>
          <xdr:col>3</xdr:col>
          <xdr:colOff>143623</xdr:colOff>
          <xdr:row>31</xdr:row>
          <xdr:rowOff>220222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32</xdr:row>
          <xdr:rowOff>19150</xdr:rowOff>
        </xdr:from>
        <xdr:to>
          <xdr:col>3</xdr:col>
          <xdr:colOff>143623</xdr:colOff>
          <xdr:row>32</xdr:row>
          <xdr:rowOff>220222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33</xdr:row>
          <xdr:rowOff>19150</xdr:rowOff>
        </xdr:from>
        <xdr:to>
          <xdr:col>3</xdr:col>
          <xdr:colOff>143623</xdr:colOff>
          <xdr:row>33</xdr:row>
          <xdr:rowOff>220222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34</xdr:row>
          <xdr:rowOff>28725</xdr:rowOff>
        </xdr:from>
        <xdr:to>
          <xdr:col>3</xdr:col>
          <xdr:colOff>713328</xdr:colOff>
          <xdr:row>34</xdr:row>
          <xdr:rowOff>210647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10</xdr:row>
          <xdr:rowOff>19150</xdr:rowOff>
        </xdr:from>
        <xdr:to>
          <xdr:col>5</xdr:col>
          <xdr:colOff>1230371</xdr:colOff>
          <xdr:row>10</xdr:row>
          <xdr:rowOff>220222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15</xdr:row>
          <xdr:rowOff>19150</xdr:rowOff>
        </xdr:from>
        <xdr:to>
          <xdr:col>5</xdr:col>
          <xdr:colOff>1230371</xdr:colOff>
          <xdr:row>15</xdr:row>
          <xdr:rowOff>220222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22</xdr:row>
          <xdr:rowOff>19150</xdr:rowOff>
        </xdr:from>
        <xdr:to>
          <xdr:col>3</xdr:col>
          <xdr:colOff>143623</xdr:colOff>
          <xdr:row>22</xdr:row>
          <xdr:rowOff>220222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23</xdr:row>
          <xdr:rowOff>19150</xdr:rowOff>
        </xdr:from>
        <xdr:to>
          <xdr:col>3</xdr:col>
          <xdr:colOff>143623</xdr:colOff>
          <xdr:row>23</xdr:row>
          <xdr:rowOff>220222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8</xdr:row>
          <xdr:rowOff>19150</xdr:rowOff>
        </xdr:from>
        <xdr:to>
          <xdr:col>5</xdr:col>
          <xdr:colOff>1230371</xdr:colOff>
          <xdr:row>8</xdr:row>
          <xdr:rowOff>220222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8</xdr:row>
          <xdr:rowOff>28725</xdr:rowOff>
        </xdr:from>
        <xdr:to>
          <xdr:col>6</xdr:col>
          <xdr:colOff>809076</xdr:colOff>
          <xdr:row>8</xdr:row>
          <xdr:rowOff>210647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9</xdr:row>
          <xdr:rowOff>28725</xdr:rowOff>
        </xdr:from>
        <xdr:to>
          <xdr:col>6</xdr:col>
          <xdr:colOff>809076</xdr:colOff>
          <xdr:row>9</xdr:row>
          <xdr:rowOff>210647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9</xdr:row>
          <xdr:rowOff>19150</xdr:rowOff>
        </xdr:from>
        <xdr:to>
          <xdr:col>5</xdr:col>
          <xdr:colOff>1230371</xdr:colOff>
          <xdr:row>9</xdr:row>
          <xdr:rowOff>220222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9524</xdr:colOff>
      <xdr:row>9</xdr:row>
      <xdr:rowOff>9524</xdr:rowOff>
    </xdr:from>
    <xdr:to>
      <xdr:col>9</xdr:col>
      <xdr:colOff>19050</xdr:colOff>
      <xdr:row>10</xdr:row>
      <xdr:rowOff>9525</xdr:rowOff>
    </xdr:to>
    <xdr:sp macro="[0]!MedTekstAanvullendeAfsprakenVerliezenPed" textlink="">
      <xdr:nvSpPr>
        <xdr:cNvPr id="75" name="Rectangle 165"/>
        <xdr:cNvSpPr>
          <a:spLocks noChangeArrowheads="1"/>
        </xdr:cNvSpPr>
      </xdr:nvSpPr>
      <xdr:spPr bwMode="auto">
        <a:xfrm>
          <a:off x="9201149" y="1838324"/>
          <a:ext cx="1809751" cy="22860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1493680</xdr:colOff>
          <xdr:row>18</xdr:row>
          <xdr:rowOff>220222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1</xdr:col>
          <xdr:colOff>1493680</xdr:colOff>
          <xdr:row>19</xdr:row>
          <xdr:rowOff>220222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17</xdr:row>
          <xdr:rowOff>28725</xdr:rowOff>
        </xdr:from>
        <xdr:to>
          <xdr:col>2</xdr:col>
          <xdr:colOff>713328</xdr:colOff>
          <xdr:row>17</xdr:row>
          <xdr:rowOff>210647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18</xdr:row>
          <xdr:rowOff>28725</xdr:rowOff>
        </xdr:from>
        <xdr:to>
          <xdr:col>2</xdr:col>
          <xdr:colOff>713328</xdr:colOff>
          <xdr:row>18</xdr:row>
          <xdr:rowOff>210647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19150</xdr:rowOff>
        </xdr:from>
        <xdr:to>
          <xdr:col>5</xdr:col>
          <xdr:colOff>1220796</xdr:colOff>
          <xdr:row>7</xdr:row>
          <xdr:rowOff>220222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16</xdr:row>
          <xdr:rowOff>19150</xdr:rowOff>
        </xdr:from>
        <xdr:to>
          <xdr:col>5</xdr:col>
          <xdr:colOff>1230371</xdr:colOff>
          <xdr:row>16</xdr:row>
          <xdr:rowOff>220222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17</xdr:row>
          <xdr:rowOff>19150</xdr:rowOff>
        </xdr:from>
        <xdr:to>
          <xdr:col>5</xdr:col>
          <xdr:colOff>1230371</xdr:colOff>
          <xdr:row>17</xdr:row>
          <xdr:rowOff>220222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20</xdr:row>
          <xdr:rowOff>19150</xdr:rowOff>
        </xdr:from>
        <xdr:to>
          <xdr:col>5</xdr:col>
          <xdr:colOff>1230371</xdr:colOff>
          <xdr:row>20</xdr:row>
          <xdr:rowOff>220222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21</xdr:row>
          <xdr:rowOff>19150</xdr:rowOff>
        </xdr:from>
        <xdr:to>
          <xdr:col>5</xdr:col>
          <xdr:colOff>1230371</xdr:colOff>
          <xdr:row>21</xdr:row>
          <xdr:rowOff>220222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8</xdr:row>
          <xdr:rowOff>19150</xdr:rowOff>
        </xdr:from>
        <xdr:to>
          <xdr:col>6</xdr:col>
          <xdr:colOff>1230371</xdr:colOff>
          <xdr:row>8</xdr:row>
          <xdr:rowOff>220222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9</xdr:row>
          <xdr:rowOff>19150</xdr:rowOff>
        </xdr:from>
        <xdr:to>
          <xdr:col>6</xdr:col>
          <xdr:colOff>1230371</xdr:colOff>
          <xdr:row>9</xdr:row>
          <xdr:rowOff>220222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10</xdr:row>
          <xdr:rowOff>19150</xdr:rowOff>
        </xdr:from>
        <xdr:to>
          <xdr:col>6</xdr:col>
          <xdr:colOff>1230371</xdr:colOff>
          <xdr:row>10</xdr:row>
          <xdr:rowOff>220222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7</xdr:row>
          <xdr:rowOff>19150</xdr:rowOff>
        </xdr:from>
        <xdr:to>
          <xdr:col>6</xdr:col>
          <xdr:colOff>1230371</xdr:colOff>
          <xdr:row>7</xdr:row>
          <xdr:rowOff>220222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12</xdr:row>
          <xdr:rowOff>19150</xdr:rowOff>
        </xdr:from>
        <xdr:to>
          <xdr:col>6</xdr:col>
          <xdr:colOff>1230371</xdr:colOff>
          <xdr:row>12</xdr:row>
          <xdr:rowOff>220222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14</xdr:row>
          <xdr:rowOff>19150</xdr:rowOff>
        </xdr:from>
        <xdr:to>
          <xdr:col>6</xdr:col>
          <xdr:colOff>1230371</xdr:colOff>
          <xdr:row>14</xdr:row>
          <xdr:rowOff>220222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15</xdr:row>
          <xdr:rowOff>19150</xdr:rowOff>
        </xdr:from>
        <xdr:to>
          <xdr:col>6</xdr:col>
          <xdr:colOff>1230371</xdr:colOff>
          <xdr:row>15</xdr:row>
          <xdr:rowOff>220222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17</xdr:row>
          <xdr:rowOff>19150</xdr:rowOff>
        </xdr:from>
        <xdr:to>
          <xdr:col>6</xdr:col>
          <xdr:colOff>1230371</xdr:colOff>
          <xdr:row>17</xdr:row>
          <xdr:rowOff>220222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19</xdr:row>
          <xdr:rowOff>19150</xdr:rowOff>
        </xdr:from>
        <xdr:to>
          <xdr:col>6</xdr:col>
          <xdr:colOff>1230371</xdr:colOff>
          <xdr:row>19</xdr:row>
          <xdr:rowOff>220222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18</xdr:row>
          <xdr:rowOff>19150</xdr:rowOff>
        </xdr:from>
        <xdr:to>
          <xdr:col>6</xdr:col>
          <xdr:colOff>1230371</xdr:colOff>
          <xdr:row>18</xdr:row>
          <xdr:rowOff>220222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21</xdr:row>
          <xdr:rowOff>19150</xdr:rowOff>
        </xdr:from>
        <xdr:to>
          <xdr:col>6</xdr:col>
          <xdr:colOff>1230371</xdr:colOff>
          <xdr:row>21</xdr:row>
          <xdr:rowOff>220222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22</xdr:row>
          <xdr:rowOff>19150</xdr:rowOff>
        </xdr:from>
        <xdr:to>
          <xdr:col>5</xdr:col>
          <xdr:colOff>1230371</xdr:colOff>
          <xdr:row>22</xdr:row>
          <xdr:rowOff>220222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22</xdr:row>
          <xdr:rowOff>19150</xdr:rowOff>
        </xdr:from>
        <xdr:to>
          <xdr:col>6</xdr:col>
          <xdr:colOff>1230371</xdr:colOff>
          <xdr:row>22</xdr:row>
          <xdr:rowOff>220222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23</xdr:row>
          <xdr:rowOff>19150</xdr:rowOff>
        </xdr:from>
        <xdr:to>
          <xdr:col>6</xdr:col>
          <xdr:colOff>1230371</xdr:colOff>
          <xdr:row>23</xdr:row>
          <xdr:rowOff>220222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24</xdr:row>
          <xdr:rowOff>19150</xdr:rowOff>
        </xdr:from>
        <xdr:to>
          <xdr:col>6</xdr:col>
          <xdr:colOff>1230371</xdr:colOff>
          <xdr:row>24</xdr:row>
          <xdr:rowOff>220222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25</xdr:row>
          <xdr:rowOff>19150</xdr:rowOff>
        </xdr:from>
        <xdr:to>
          <xdr:col>6</xdr:col>
          <xdr:colOff>1230371</xdr:colOff>
          <xdr:row>25</xdr:row>
          <xdr:rowOff>220222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26</xdr:row>
          <xdr:rowOff>19150</xdr:rowOff>
        </xdr:from>
        <xdr:to>
          <xdr:col>6</xdr:col>
          <xdr:colOff>1230371</xdr:colOff>
          <xdr:row>26</xdr:row>
          <xdr:rowOff>220222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27</xdr:row>
          <xdr:rowOff>19150</xdr:rowOff>
        </xdr:from>
        <xdr:to>
          <xdr:col>6</xdr:col>
          <xdr:colOff>1230371</xdr:colOff>
          <xdr:row>27</xdr:row>
          <xdr:rowOff>220222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28</xdr:row>
          <xdr:rowOff>19150</xdr:rowOff>
        </xdr:from>
        <xdr:to>
          <xdr:col>6</xdr:col>
          <xdr:colOff>1230371</xdr:colOff>
          <xdr:row>28</xdr:row>
          <xdr:rowOff>220222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29</xdr:row>
          <xdr:rowOff>19150</xdr:rowOff>
        </xdr:from>
        <xdr:to>
          <xdr:col>6</xdr:col>
          <xdr:colOff>1230371</xdr:colOff>
          <xdr:row>29</xdr:row>
          <xdr:rowOff>220222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5</xdr:col>
          <xdr:colOff>1230371</xdr:colOff>
          <xdr:row>30</xdr:row>
          <xdr:rowOff>220222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6</xdr:row>
          <xdr:rowOff>19150</xdr:rowOff>
        </xdr:from>
        <xdr:to>
          <xdr:col>8</xdr:col>
          <xdr:colOff>1230371</xdr:colOff>
          <xdr:row>6</xdr:row>
          <xdr:rowOff>220222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8</xdr:row>
          <xdr:rowOff>47874</xdr:rowOff>
        </xdr:from>
        <xdr:to>
          <xdr:col>8</xdr:col>
          <xdr:colOff>1752201</xdr:colOff>
          <xdr:row>8</xdr:row>
          <xdr:rowOff>220222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9</xdr:row>
          <xdr:rowOff>19150</xdr:rowOff>
        </xdr:from>
        <xdr:to>
          <xdr:col>8</xdr:col>
          <xdr:colOff>1230371</xdr:colOff>
          <xdr:row>9</xdr:row>
          <xdr:rowOff>220222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10</xdr:row>
          <xdr:rowOff>19150</xdr:rowOff>
        </xdr:from>
        <xdr:to>
          <xdr:col>8</xdr:col>
          <xdr:colOff>1230371</xdr:colOff>
          <xdr:row>10</xdr:row>
          <xdr:rowOff>220222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11</xdr:row>
          <xdr:rowOff>19150</xdr:rowOff>
        </xdr:from>
        <xdr:to>
          <xdr:col>8</xdr:col>
          <xdr:colOff>1407506</xdr:colOff>
          <xdr:row>11</xdr:row>
          <xdr:rowOff>220222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12</xdr:row>
          <xdr:rowOff>19150</xdr:rowOff>
        </xdr:from>
        <xdr:to>
          <xdr:col>8</xdr:col>
          <xdr:colOff>1230371</xdr:colOff>
          <xdr:row>12</xdr:row>
          <xdr:rowOff>220222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13</xdr:row>
          <xdr:rowOff>19150</xdr:rowOff>
        </xdr:from>
        <xdr:to>
          <xdr:col>8</xdr:col>
          <xdr:colOff>1230371</xdr:colOff>
          <xdr:row>13</xdr:row>
          <xdr:rowOff>220222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14</xdr:row>
          <xdr:rowOff>19150</xdr:rowOff>
        </xdr:from>
        <xdr:to>
          <xdr:col>8</xdr:col>
          <xdr:colOff>1666027</xdr:colOff>
          <xdr:row>14</xdr:row>
          <xdr:rowOff>220222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15</xdr:row>
          <xdr:rowOff>19150</xdr:rowOff>
        </xdr:from>
        <xdr:to>
          <xdr:col>8</xdr:col>
          <xdr:colOff>1230371</xdr:colOff>
          <xdr:row>15</xdr:row>
          <xdr:rowOff>220222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17</xdr:row>
          <xdr:rowOff>19150</xdr:rowOff>
        </xdr:from>
        <xdr:to>
          <xdr:col>8</xdr:col>
          <xdr:colOff>1230371</xdr:colOff>
          <xdr:row>17</xdr:row>
          <xdr:rowOff>220222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16</xdr:row>
          <xdr:rowOff>19150</xdr:rowOff>
        </xdr:from>
        <xdr:to>
          <xdr:col>8</xdr:col>
          <xdr:colOff>1230371</xdr:colOff>
          <xdr:row>16</xdr:row>
          <xdr:rowOff>220222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22</xdr:row>
          <xdr:rowOff>19150</xdr:rowOff>
        </xdr:from>
        <xdr:to>
          <xdr:col>8</xdr:col>
          <xdr:colOff>1230371</xdr:colOff>
          <xdr:row>22</xdr:row>
          <xdr:rowOff>220222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22</xdr:row>
          <xdr:rowOff>19150</xdr:rowOff>
        </xdr:from>
        <xdr:to>
          <xdr:col>9</xdr:col>
          <xdr:colOff>923975</xdr:colOff>
          <xdr:row>22</xdr:row>
          <xdr:rowOff>220222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23</xdr:row>
          <xdr:rowOff>19150</xdr:rowOff>
        </xdr:from>
        <xdr:to>
          <xdr:col>9</xdr:col>
          <xdr:colOff>923975</xdr:colOff>
          <xdr:row>23</xdr:row>
          <xdr:rowOff>220222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24</xdr:row>
          <xdr:rowOff>19150</xdr:rowOff>
        </xdr:from>
        <xdr:to>
          <xdr:col>9</xdr:col>
          <xdr:colOff>923975</xdr:colOff>
          <xdr:row>24</xdr:row>
          <xdr:rowOff>220222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25</xdr:row>
          <xdr:rowOff>19150</xdr:rowOff>
        </xdr:from>
        <xdr:to>
          <xdr:col>9</xdr:col>
          <xdr:colOff>923975</xdr:colOff>
          <xdr:row>25</xdr:row>
          <xdr:rowOff>220222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18</xdr:row>
          <xdr:rowOff>19150</xdr:rowOff>
        </xdr:from>
        <xdr:to>
          <xdr:col>8</xdr:col>
          <xdr:colOff>1230371</xdr:colOff>
          <xdr:row>18</xdr:row>
          <xdr:rowOff>220222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19</xdr:row>
          <xdr:rowOff>19150</xdr:rowOff>
        </xdr:from>
        <xdr:to>
          <xdr:col>9</xdr:col>
          <xdr:colOff>923975</xdr:colOff>
          <xdr:row>19</xdr:row>
          <xdr:rowOff>220222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20</xdr:row>
          <xdr:rowOff>19150</xdr:rowOff>
        </xdr:from>
        <xdr:to>
          <xdr:col>9</xdr:col>
          <xdr:colOff>923975</xdr:colOff>
          <xdr:row>20</xdr:row>
          <xdr:rowOff>220222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21</xdr:row>
          <xdr:rowOff>19150</xdr:rowOff>
        </xdr:from>
        <xdr:to>
          <xdr:col>9</xdr:col>
          <xdr:colOff>923975</xdr:colOff>
          <xdr:row>21</xdr:row>
          <xdr:rowOff>220222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11</xdr:row>
          <xdr:rowOff>28725</xdr:rowOff>
        </xdr:from>
        <xdr:to>
          <xdr:col>2</xdr:col>
          <xdr:colOff>713328</xdr:colOff>
          <xdr:row>11</xdr:row>
          <xdr:rowOff>210647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751627</xdr:colOff>
          <xdr:row>16</xdr:row>
          <xdr:rowOff>38299</xdr:rowOff>
        </xdr:from>
        <xdr:to>
          <xdr:col>9</xdr:col>
          <xdr:colOff>933550</xdr:colOff>
          <xdr:row>16</xdr:row>
          <xdr:rowOff>220222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627154</xdr:colOff>
          <xdr:row>16</xdr:row>
          <xdr:rowOff>19150</xdr:rowOff>
        </xdr:from>
        <xdr:to>
          <xdr:col>10</xdr:col>
          <xdr:colOff>809076</xdr:colOff>
          <xdr:row>16</xdr:row>
          <xdr:rowOff>201072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26</xdr:row>
          <xdr:rowOff>19150</xdr:rowOff>
        </xdr:from>
        <xdr:to>
          <xdr:col>1</xdr:col>
          <xdr:colOff>1230371</xdr:colOff>
          <xdr:row>26</xdr:row>
          <xdr:rowOff>220222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27</xdr:row>
          <xdr:rowOff>19150</xdr:rowOff>
        </xdr:from>
        <xdr:to>
          <xdr:col>1</xdr:col>
          <xdr:colOff>1230371</xdr:colOff>
          <xdr:row>27</xdr:row>
          <xdr:rowOff>220222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28725</xdr:rowOff>
        </xdr:from>
        <xdr:to>
          <xdr:col>1</xdr:col>
          <xdr:colOff>1560704</xdr:colOff>
          <xdr:row>28</xdr:row>
          <xdr:rowOff>220222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35</xdr:row>
          <xdr:rowOff>19150</xdr:rowOff>
        </xdr:from>
        <xdr:to>
          <xdr:col>1</xdr:col>
          <xdr:colOff>1230371</xdr:colOff>
          <xdr:row>35</xdr:row>
          <xdr:rowOff>220222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9575</xdr:rowOff>
        </xdr:from>
        <xdr:to>
          <xdr:col>2</xdr:col>
          <xdr:colOff>923975</xdr:colOff>
          <xdr:row>35</xdr:row>
          <xdr:rowOff>220222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6</xdr:row>
          <xdr:rowOff>19150</xdr:rowOff>
        </xdr:from>
        <xdr:to>
          <xdr:col>1</xdr:col>
          <xdr:colOff>1230371</xdr:colOff>
          <xdr:row>6</xdr:row>
          <xdr:rowOff>220222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1</xdr:col>
          <xdr:colOff>1230371</xdr:colOff>
          <xdr:row>21</xdr:row>
          <xdr:rowOff>220222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21</xdr:row>
          <xdr:rowOff>9575</xdr:rowOff>
        </xdr:from>
        <xdr:to>
          <xdr:col>2</xdr:col>
          <xdr:colOff>923975</xdr:colOff>
          <xdr:row>21</xdr:row>
          <xdr:rowOff>220222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19150</xdr:rowOff>
        </xdr:from>
        <xdr:to>
          <xdr:col>1</xdr:col>
          <xdr:colOff>1230371</xdr:colOff>
          <xdr:row>25</xdr:row>
          <xdr:rowOff>220222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1</xdr:col>
          <xdr:colOff>1230371</xdr:colOff>
          <xdr:row>11</xdr:row>
          <xdr:rowOff>220222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1230371</xdr:colOff>
          <xdr:row>18</xdr:row>
          <xdr:rowOff>220222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14</xdr:row>
          <xdr:rowOff>19150</xdr:rowOff>
        </xdr:from>
        <xdr:to>
          <xdr:col>3</xdr:col>
          <xdr:colOff>923975</xdr:colOff>
          <xdr:row>14</xdr:row>
          <xdr:rowOff>220222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751627</xdr:colOff>
          <xdr:row>26</xdr:row>
          <xdr:rowOff>28725</xdr:rowOff>
        </xdr:from>
        <xdr:to>
          <xdr:col>3</xdr:col>
          <xdr:colOff>933550</xdr:colOff>
          <xdr:row>26</xdr:row>
          <xdr:rowOff>210647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MedTekstWondkweek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34</xdr:row>
          <xdr:rowOff>9575</xdr:rowOff>
        </xdr:from>
        <xdr:to>
          <xdr:col>4</xdr:col>
          <xdr:colOff>923975</xdr:colOff>
          <xdr:row>34</xdr:row>
          <xdr:rowOff>220222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35</xdr:row>
          <xdr:rowOff>9575</xdr:rowOff>
        </xdr:from>
        <xdr:to>
          <xdr:col>4</xdr:col>
          <xdr:colOff>923975</xdr:colOff>
          <xdr:row>35</xdr:row>
          <xdr:rowOff>220222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34</xdr:row>
          <xdr:rowOff>9575</xdr:rowOff>
        </xdr:from>
        <xdr:to>
          <xdr:col>3</xdr:col>
          <xdr:colOff>923975</xdr:colOff>
          <xdr:row>34</xdr:row>
          <xdr:rowOff>220222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35</xdr:row>
          <xdr:rowOff>9575</xdr:rowOff>
        </xdr:from>
        <xdr:to>
          <xdr:col>3</xdr:col>
          <xdr:colOff>923975</xdr:colOff>
          <xdr:row>35</xdr:row>
          <xdr:rowOff>220222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36</xdr:row>
          <xdr:rowOff>19150</xdr:rowOff>
        </xdr:from>
        <xdr:to>
          <xdr:col>1</xdr:col>
          <xdr:colOff>1230371</xdr:colOff>
          <xdr:row>36</xdr:row>
          <xdr:rowOff>220222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9575</xdr:rowOff>
        </xdr:from>
        <xdr:to>
          <xdr:col>2</xdr:col>
          <xdr:colOff>923975</xdr:colOff>
          <xdr:row>36</xdr:row>
          <xdr:rowOff>220222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36</xdr:row>
          <xdr:rowOff>9575</xdr:rowOff>
        </xdr:from>
        <xdr:to>
          <xdr:col>4</xdr:col>
          <xdr:colOff>923975</xdr:colOff>
          <xdr:row>36</xdr:row>
          <xdr:rowOff>220222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36</xdr:row>
          <xdr:rowOff>9575</xdr:rowOff>
        </xdr:from>
        <xdr:to>
          <xdr:col>3</xdr:col>
          <xdr:colOff>923975</xdr:colOff>
          <xdr:row>36</xdr:row>
          <xdr:rowOff>220222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37</xdr:row>
          <xdr:rowOff>19150</xdr:rowOff>
        </xdr:from>
        <xdr:to>
          <xdr:col>1</xdr:col>
          <xdr:colOff>1230371</xdr:colOff>
          <xdr:row>37</xdr:row>
          <xdr:rowOff>220222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39</xdr:row>
          <xdr:rowOff>19150</xdr:rowOff>
        </xdr:from>
        <xdr:to>
          <xdr:col>1</xdr:col>
          <xdr:colOff>1230371</xdr:colOff>
          <xdr:row>39</xdr:row>
          <xdr:rowOff>220222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38</xdr:row>
          <xdr:rowOff>19150</xdr:rowOff>
        </xdr:from>
        <xdr:to>
          <xdr:col>1</xdr:col>
          <xdr:colOff>1230371</xdr:colOff>
          <xdr:row>38</xdr:row>
          <xdr:rowOff>220222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37</xdr:row>
          <xdr:rowOff>19150</xdr:rowOff>
        </xdr:from>
        <xdr:to>
          <xdr:col>3</xdr:col>
          <xdr:colOff>143623</xdr:colOff>
          <xdr:row>37</xdr:row>
          <xdr:rowOff>220222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38</xdr:row>
          <xdr:rowOff>19150</xdr:rowOff>
        </xdr:from>
        <xdr:to>
          <xdr:col>3</xdr:col>
          <xdr:colOff>143623</xdr:colOff>
          <xdr:row>38</xdr:row>
          <xdr:rowOff>220222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39</xdr:row>
          <xdr:rowOff>19150</xdr:rowOff>
        </xdr:from>
        <xdr:to>
          <xdr:col>3</xdr:col>
          <xdr:colOff>143623</xdr:colOff>
          <xdr:row>39</xdr:row>
          <xdr:rowOff>220222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40</xdr:row>
          <xdr:rowOff>9575</xdr:rowOff>
        </xdr:from>
        <xdr:to>
          <xdr:col>2</xdr:col>
          <xdr:colOff>923975</xdr:colOff>
          <xdr:row>40</xdr:row>
          <xdr:rowOff>220222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40</xdr:row>
          <xdr:rowOff>28725</xdr:rowOff>
        </xdr:from>
        <xdr:to>
          <xdr:col>3</xdr:col>
          <xdr:colOff>713328</xdr:colOff>
          <xdr:row>40</xdr:row>
          <xdr:rowOff>210647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40</xdr:row>
          <xdr:rowOff>19150</xdr:rowOff>
        </xdr:from>
        <xdr:to>
          <xdr:col>1</xdr:col>
          <xdr:colOff>1230371</xdr:colOff>
          <xdr:row>40</xdr:row>
          <xdr:rowOff>220222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26</xdr:row>
          <xdr:rowOff>19150</xdr:rowOff>
        </xdr:from>
        <xdr:to>
          <xdr:col>10</xdr:col>
          <xdr:colOff>191497</xdr:colOff>
          <xdr:row>26</xdr:row>
          <xdr:rowOff>220222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627154</xdr:colOff>
          <xdr:row>18</xdr:row>
          <xdr:rowOff>28725</xdr:rowOff>
        </xdr:from>
        <xdr:to>
          <xdr:col>9</xdr:col>
          <xdr:colOff>809076</xdr:colOff>
          <xdr:row>18</xdr:row>
          <xdr:rowOff>210647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7</xdr:row>
          <xdr:rowOff>19150</xdr:rowOff>
        </xdr:from>
        <xdr:to>
          <xdr:col>8</xdr:col>
          <xdr:colOff>1230371</xdr:colOff>
          <xdr:row>7</xdr:row>
          <xdr:rowOff>220222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675028</xdr:colOff>
          <xdr:row>7</xdr:row>
          <xdr:rowOff>28725</xdr:rowOff>
        </xdr:from>
        <xdr:to>
          <xdr:col>9</xdr:col>
          <xdr:colOff>856951</xdr:colOff>
          <xdr:row>7</xdr:row>
          <xdr:rowOff>210647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220222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220222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220222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18</xdr:row>
          <xdr:rowOff>0</xdr:rowOff>
        </xdr:from>
        <xdr:to>
          <xdr:col>2</xdr:col>
          <xdr:colOff>617579</xdr:colOff>
          <xdr:row>18</xdr:row>
          <xdr:rowOff>220222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220222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220222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220222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18</xdr:row>
          <xdr:rowOff>0</xdr:rowOff>
        </xdr:from>
        <xdr:to>
          <xdr:col>6</xdr:col>
          <xdr:colOff>617579</xdr:colOff>
          <xdr:row>18</xdr:row>
          <xdr:rowOff>220222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220222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220222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220222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18</xdr:row>
          <xdr:rowOff>0</xdr:rowOff>
        </xdr:from>
        <xdr:to>
          <xdr:col>8</xdr:col>
          <xdr:colOff>617579</xdr:colOff>
          <xdr:row>18</xdr:row>
          <xdr:rowOff>220222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10</xdr:row>
          <xdr:rowOff>0</xdr:rowOff>
        </xdr:from>
        <xdr:to>
          <xdr:col>16</xdr:col>
          <xdr:colOff>627154</xdr:colOff>
          <xdr:row>10</xdr:row>
          <xdr:rowOff>220222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13</xdr:row>
          <xdr:rowOff>0</xdr:rowOff>
        </xdr:from>
        <xdr:to>
          <xdr:col>16</xdr:col>
          <xdr:colOff>627154</xdr:colOff>
          <xdr:row>13</xdr:row>
          <xdr:rowOff>220222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20</xdr:row>
          <xdr:rowOff>0</xdr:rowOff>
        </xdr:from>
        <xdr:to>
          <xdr:col>16</xdr:col>
          <xdr:colOff>617579</xdr:colOff>
          <xdr:row>20</xdr:row>
          <xdr:rowOff>220222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36</xdr:row>
          <xdr:rowOff>0</xdr:rowOff>
        </xdr:from>
        <xdr:to>
          <xdr:col>16</xdr:col>
          <xdr:colOff>627154</xdr:colOff>
          <xdr:row>36</xdr:row>
          <xdr:rowOff>229797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0</xdr:rowOff>
        </xdr:from>
        <xdr:to>
          <xdr:col>16</xdr:col>
          <xdr:colOff>627154</xdr:colOff>
          <xdr:row>26</xdr:row>
          <xdr:rowOff>220222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0</xdr:rowOff>
        </xdr:from>
        <xdr:to>
          <xdr:col>16</xdr:col>
          <xdr:colOff>627154</xdr:colOff>
          <xdr:row>27</xdr:row>
          <xdr:rowOff>220222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18</xdr:row>
          <xdr:rowOff>0</xdr:rowOff>
        </xdr:from>
        <xdr:to>
          <xdr:col>16</xdr:col>
          <xdr:colOff>617579</xdr:colOff>
          <xdr:row>18</xdr:row>
          <xdr:rowOff>220222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34</xdr:row>
          <xdr:rowOff>19150</xdr:rowOff>
        </xdr:from>
        <xdr:to>
          <xdr:col>16</xdr:col>
          <xdr:colOff>627154</xdr:colOff>
          <xdr:row>34</xdr:row>
          <xdr:rowOff>239372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38</xdr:row>
          <xdr:rowOff>19150</xdr:rowOff>
        </xdr:from>
        <xdr:to>
          <xdr:col>16</xdr:col>
          <xdr:colOff>627154</xdr:colOff>
          <xdr:row>38</xdr:row>
          <xdr:rowOff>239372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12</xdr:row>
          <xdr:rowOff>0</xdr:rowOff>
        </xdr:from>
        <xdr:to>
          <xdr:col>16</xdr:col>
          <xdr:colOff>627154</xdr:colOff>
          <xdr:row>12</xdr:row>
          <xdr:rowOff>220222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220222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220222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220222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18</xdr:row>
          <xdr:rowOff>0</xdr:rowOff>
        </xdr:from>
        <xdr:to>
          <xdr:col>4</xdr:col>
          <xdr:colOff>617579</xdr:colOff>
          <xdr:row>18</xdr:row>
          <xdr:rowOff>220222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opmLabNeo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39</xdr:row>
          <xdr:rowOff>19150</xdr:rowOff>
        </xdr:from>
        <xdr:to>
          <xdr:col>16</xdr:col>
          <xdr:colOff>627154</xdr:colOff>
          <xdr:row>39</xdr:row>
          <xdr:rowOff>239372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40</xdr:row>
          <xdr:rowOff>19150</xdr:rowOff>
        </xdr:from>
        <xdr:to>
          <xdr:col>16</xdr:col>
          <xdr:colOff>627154</xdr:colOff>
          <xdr:row>40</xdr:row>
          <xdr:rowOff>239372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21</xdr:row>
          <xdr:rowOff>0</xdr:rowOff>
        </xdr:from>
        <xdr:to>
          <xdr:col>2</xdr:col>
          <xdr:colOff>617579</xdr:colOff>
          <xdr:row>21</xdr:row>
          <xdr:rowOff>220222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21</xdr:row>
          <xdr:rowOff>0</xdr:rowOff>
        </xdr:from>
        <xdr:to>
          <xdr:col>6</xdr:col>
          <xdr:colOff>617579</xdr:colOff>
          <xdr:row>21</xdr:row>
          <xdr:rowOff>220222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21</xdr:row>
          <xdr:rowOff>0</xdr:rowOff>
        </xdr:from>
        <xdr:to>
          <xdr:col>8</xdr:col>
          <xdr:colOff>617579</xdr:colOff>
          <xdr:row>21</xdr:row>
          <xdr:rowOff>220222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21</xdr:row>
          <xdr:rowOff>0</xdr:rowOff>
        </xdr:from>
        <xdr:to>
          <xdr:col>16</xdr:col>
          <xdr:colOff>617579</xdr:colOff>
          <xdr:row>21</xdr:row>
          <xdr:rowOff>220222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21</xdr:row>
          <xdr:rowOff>0</xdr:rowOff>
        </xdr:from>
        <xdr:to>
          <xdr:col>4</xdr:col>
          <xdr:colOff>617579</xdr:colOff>
          <xdr:row>21</xdr:row>
          <xdr:rowOff>220222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220222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220222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220222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0</xdr:rowOff>
        </xdr:from>
        <xdr:to>
          <xdr:col>16</xdr:col>
          <xdr:colOff>627154</xdr:colOff>
          <xdr:row>28</xdr:row>
          <xdr:rowOff>220222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220222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220222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220222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220222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0</xdr:rowOff>
        </xdr:from>
        <xdr:to>
          <xdr:col>16</xdr:col>
          <xdr:colOff>627154</xdr:colOff>
          <xdr:row>29</xdr:row>
          <xdr:rowOff>220222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220222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220222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220222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220222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30</xdr:row>
          <xdr:rowOff>0</xdr:rowOff>
        </xdr:from>
        <xdr:to>
          <xdr:col>16</xdr:col>
          <xdr:colOff>627154</xdr:colOff>
          <xdr:row>30</xdr:row>
          <xdr:rowOff>220222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220222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220222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220222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220222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31</xdr:row>
          <xdr:rowOff>0</xdr:rowOff>
        </xdr:from>
        <xdr:to>
          <xdr:col>16</xdr:col>
          <xdr:colOff>627154</xdr:colOff>
          <xdr:row>31</xdr:row>
          <xdr:rowOff>220222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220222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0</xdr:rowOff>
        </xdr:from>
        <xdr:to>
          <xdr:col>2</xdr:col>
          <xdr:colOff>627154</xdr:colOff>
          <xdr:row>32</xdr:row>
          <xdr:rowOff>220222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0</xdr:rowOff>
        </xdr:from>
        <xdr:to>
          <xdr:col>6</xdr:col>
          <xdr:colOff>627154</xdr:colOff>
          <xdr:row>32</xdr:row>
          <xdr:rowOff>220222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0</xdr:rowOff>
        </xdr:from>
        <xdr:to>
          <xdr:col>8</xdr:col>
          <xdr:colOff>627154</xdr:colOff>
          <xdr:row>32</xdr:row>
          <xdr:rowOff>220222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32</xdr:row>
          <xdr:rowOff>0</xdr:rowOff>
        </xdr:from>
        <xdr:to>
          <xdr:col>16</xdr:col>
          <xdr:colOff>627154</xdr:colOff>
          <xdr:row>32</xdr:row>
          <xdr:rowOff>220222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0</xdr:rowOff>
        </xdr:from>
        <xdr:to>
          <xdr:col>4</xdr:col>
          <xdr:colOff>627154</xdr:colOff>
          <xdr:row>32</xdr:row>
          <xdr:rowOff>220222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35</xdr:row>
          <xdr:rowOff>0</xdr:rowOff>
        </xdr:from>
        <xdr:to>
          <xdr:col>16</xdr:col>
          <xdr:colOff>627154</xdr:colOff>
          <xdr:row>35</xdr:row>
          <xdr:rowOff>229797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19150</xdr:rowOff>
        </xdr:from>
        <xdr:to>
          <xdr:col>2</xdr:col>
          <xdr:colOff>627154</xdr:colOff>
          <xdr:row>24</xdr:row>
          <xdr:rowOff>239372</xdr:rowOff>
        </xdr:to>
        <xdr:sp macro="" textlink="">
          <xdr:nvSpPr>
            <xdr:cNvPr id="71870" name="Check Box 190" descr="Fosfaat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19150</xdr:rowOff>
        </xdr:from>
        <xdr:to>
          <xdr:col>6</xdr:col>
          <xdr:colOff>627154</xdr:colOff>
          <xdr:row>24</xdr:row>
          <xdr:rowOff>239372</xdr:rowOff>
        </xdr:to>
        <xdr:sp macro="" textlink="">
          <xdr:nvSpPr>
            <xdr:cNvPr id="71871" name="Check Box 191" descr="Fosfaat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19150</xdr:rowOff>
        </xdr:from>
        <xdr:to>
          <xdr:col>8</xdr:col>
          <xdr:colOff>627154</xdr:colOff>
          <xdr:row>24</xdr:row>
          <xdr:rowOff>239372</xdr:rowOff>
        </xdr:to>
        <xdr:sp macro="" textlink="">
          <xdr:nvSpPr>
            <xdr:cNvPr id="71872" name="Check Box 192" descr="Fosfaat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19150</xdr:rowOff>
        </xdr:from>
        <xdr:to>
          <xdr:col>16</xdr:col>
          <xdr:colOff>627154</xdr:colOff>
          <xdr:row>24</xdr:row>
          <xdr:rowOff>239372</xdr:rowOff>
        </xdr:to>
        <xdr:sp macro="" textlink="">
          <xdr:nvSpPr>
            <xdr:cNvPr id="71873" name="Check Box 193" descr="Fosfaat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19150</xdr:rowOff>
        </xdr:from>
        <xdr:to>
          <xdr:col>4</xdr:col>
          <xdr:colOff>627154</xdr:colOff>
          <xdr:row>24</xdr:row>
          <xdr:rowOff>239372</xdr:rowOff>
        </xdr:to>
        <xdr:sp macro="" textlink="">
          <xdr:nvSpPr>
            <xdr:cNvPr id="71874" name="Check Box 194" descr="Fosfaat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10</xdr:row>
          <xdr:rowOff>0</xdr:rowOff>
        </xdr:from>
        <xdr:to>
          <xdr:col>10</xdr:col>
          <xdr:colOff>627154</xdr:colOff>
          <xdr:row>10</xdr:row>
          <xdr:rowOff>220222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11</xdr:row>
          <xdr:rowOff>0</xdr:rowOff>
        </xdr:from>
        <xdr:to>
          <xdr:col>10</xdr:col>
          <xdr:colOff>627154</xdr:colOff>
          <xdr:row>11</xdr:row>
          <xdr:rowOff>220222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13</xdr:row>
          <xdr:rowOff>0</xdr:rowOff>
        </xdr:from>
        <xdr:to>
          <xdr:col>10</xdr:col>
          <xdr:colOff>627154</xdr:colOff>
          <xdr:row>13</xdr:row>
          <xdr:rowOff>220222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14</xdr:row>
          <xdr:rowOff>0</xdr:rowOff>
        </xdr:from>
        <xdr:to>
          <xdr:col>10</xdr:col>
          <xdr:colOff>627154</xdr:colOff>
          <xdr:row>14</xdr:row>
          <xdr:rowOff>220222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20</xdr:row>
          <xdr:rowOff>0</xdr:rowOff>
        </xdr:from>
        <xdr:to>
          <xdr:col>10</xdr:col>
          <xdr:colOff>617579</xdr:colOff>
          <xdr:row>20</xdr:row>
          <xdr:rowOff>220222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19</xdr:row>
          <xdr:rowOff>0</xdr:rowOff>
        </xdr:from>
        <xdr:to>
          <xdr:col>10</xdr:col>
          <xdr:colOff>627154</xdr:colOff>
          <xdr:row>19</xdr:row>
          <xdr:rowOff>220222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36</xdr:row>
          <xdr:rowOff>0</xdr:rowOff>
        </xdr:from>
        <xdr:to>
          <xdr:col>10</xdr:col>
          <xdr:colOff>627154</xdr:colOff>
          <xdr:row>36</xdr:row>
          <xdr:rowOff>229797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22</xdr:row>
          <xdr:rowOff>0</xdr:rowOff>
        </xdr:from>
        <xdr:to>
          <xdr:col>10</xdr:col>
          <xdr:colOff>627154</xdr:colOff>
          <xdr:row>22</xdr:row>
          <xdr:rowOff>220222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25</xdr:row>
          <xdr:rowOff>0</xdr:rowOff>
        </xdr:from>
        <xdr:to>
          <xdr:col>10</xdr:col>
          <xdr:colOff>627154</xdr:colOff>
          <xdr:row>25</xdr:row>
          <xdr:rowOff>220222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26</xdr:row>
          <xdr:rowOff>0</xdr:rowOff>
        </xdr:from>
        <xdr:to>
          <xdr:col>10</xdr:col>
          <xdr:colOff>627154</xdr:colOff>
          <xdr:row>26</xdr:row>
          <xdr:rowOff>220222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27</xdr:row>
          <xdr:rowOff>0</xdr:rowOff>
        </xdr:from>
        <xdr:to>
          <xdr:col>10</xdr:col>
          <xdr:colOff>627154</xdr:colOff>
          <xdr:row>27</xdr:row>
          <xdr:rowOff>220222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18</xdr:row>
          <xdr:rowOff>0</xdr:rowOff>
        </xdr:from>
        <xdr:to>
          <xdr:col>10</xdr:col>
          <xdr:colOff>617579</xdr:colOff>
          <xdr:row>18</xdr:row>
          <xdr:rowOff>220222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34</xdr:row>
          <xdr:rowOff>19150</xdr:rowOff>
        </xdr:from>
        <xdr:to>
          <xdr:col>10</xdr:col>
          <xdr:colOff>627154</xdr:colOff>
          <xdr:row>34</xdr:row>
          <xdr:rowOff>239372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220222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220222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220222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18</xdr:row>
          <xdr:rowOff>0</xdr:rowOff>
        </xdr:from>
        <xdr:to>
          <xdr:col>12</xdr:col>
          <xdr:colOff>617579</xdr:colOff>
          <xdr:row>18</xdr:row>
          <xdr:rowOff>220222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38</xdr:row>
          <xdr:rowOff>19150</xdr:rowOff>
        </xdr:from>
        <xdr:to>
          <xdr:col>10</xdr:col>
          <xdr:colOff>627154</xdr:colOff>
          <xdr:row>38</xdr:row>
          <xdr:rowOff>239372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12</xdr:row>
          <xdr:rowOff>0</xdr:rowOff>
        </xdr:from>
        <xdr:to>
          <xdr:col>10</xdr:col>
          <xdr:colOff>627154</xdr:colOff>
          <xdr:row>12</xdr:row>
          <xdr:rowOff>220222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23</xdr:row>
          <xdr:rowOff>0</xdr:rowOff>
        </xdr:from>
        <xdr:to>
          <xdr:col>10</xdr:col>
          <xdr:colOff>627154</xdr:colOff>
          <xdr:row>23</xdr:row>
          <xdr:rowOff>220222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39</xdr:row>
          <xdr:rowOff>19150</xdr:rowOff>
        </xdr:from>
        <xdr:to>
          <xdr:col>10</xdr:col>
          <xdr:colOff>627154</xdr:colOff>
          <xdr:row>39</xdr:row>
          <xdr:rowOff>239372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40</xdr:row>
          <xdr:rowOff>19150</xdr:rowOff>
        </xdr:from>
        <xdr:to>
          <xdr:col>10</xdr:col>
          <xdr:colOff>627154</xdr:colOff>
          <xdr:row>40</xdr:row>
          <xdr:rowOff>239372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15</xdr:row>
          <xdr:rowOff>0</xdr:rowOff>
        </xdr:from>
        <xdr:to>
          <xdr:col>10</xdr:col>
          <xdr:colOff>627154</xdr:colOff>
          <xdr:row>15</xdr:row>
          <xdr:rowOff>220222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17</xdr:row>
          <xdr:rowOff>0</xdr:rowOff>
        </xdr:from>
        <xdr:to>
          <xdr:col>10</xdr:col>
          <xdr:colOff>627154</xdr:colOff>
          <xdr:row>17</xdr:row>
          <xdr:rowOff>220222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21</xdr:row>
          <xdr:rowOff>0</xdr:rowOff>
        </xdr:from>
        <xdr:to>
          <xdr:col>10</xdr:col>
          <xdr:colOff>617579</xdr:colOff>
          <xdr:row>21</xdr:row>
          <xdr:rowOff>220222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21</xdr:row>
          <xdr:rowOff>0</xdr:rowOff>
        </xdr:from>
        <xdr:to>
          <xdr:col>12</xdr:col>
          <xdr:colOff>617579</xdr:colOff>
          <xdr:row>21</xdr:row>
          <xdr:rowOff>220222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28</xdr:row>
          <xdr:rowOff>0</xdr:rowOff>
        </xdr:from>
        <xdr:to>
          <xdr:col>10</xdr:col>
          <xdr:colOff>627154</xdr:colOff>
          <xdr:row>28</xdr:row>
          <xdr:rowOff>220222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220222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29</xdr:row>
          <xdr:rowOff>0</xdr:rowOff>
        </xdr:from>
        <xdr:to>
          <xdr:col>10</xdr:col>
          <xdr:colOff>627154</xdr:colOff>
          <xdr:row>29</xdr:row>
          <xdr:rowOff>220222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220222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30</xdr:row>
          <xdr:rowOff>0</xdr:rowOff>
        </xdr:from>
        <xdr:to>
          <xdr:col>10</xdr:col>
          <xdr:colOff>627154</xdr:colOff>
          <xdr:row>30</xdr:row>
          <xdr:rowOff>220222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220222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31</xdr:row>
          <xdr:rowOff>0</xdr:rowOff>
        </xdr:from>
        <xdr:to>
          <xdr:col>10</xdr:col>
          <xdr:colOff>627154</xdr:colOff>
          <xdr:row>31</xdr:row>
          <xdr:rowOff>220222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220222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32</xdr:row>
          <xdr:rowOff>0</xdr:rowOff>
        </xdr:from>
        <xdr:to>
          <xdr:col>10</xdr:col>
          <xdr:colOff>627154</xdr:colOff>
          <xdr:row>32</xdr:row>
          <xdr:rowOff>220222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0</xdr:rowOff>
        </xdr:from>
        <xdr:to>
          <xdr:col>12</xdr:col>
          <xdr:colOff>627154</xdr:colOff>
          <xdr:row>32</xdr:row>
          <xdr:rowOff>220222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35</xdr:row>
          <xdr:rowOff>0</xdr:rowOff>
        </xdr:from>
        <xdr:to>
          <xdr:col>10</xdr:col>
          <xdr:colOff>627154</xdr:colOff>
          <xdr:row>35</xdr:row>
          <xdr:rowOff>229797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24</xdr:row>
          <xdr:rowOff>19150</xdr:rowOff>
        </xdr:from>
        <xdr:to>
          <xdr:col>10</xdr:col>
          <xdr:colOff>627154</xdr:colOff>
          <xdr:row>24</xdr:row>
          <xdr:rowOff>239372</xdr:rowOff>
        </xdr:to>
        <xdr:sp macro="" textlink="">
          <xdr:nvSpPr>
            <xdr:cNvPr id="71931" name="Check Box 251" descr="Fosfaat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19150</xdr:rowOff>
        </xdr:from>
        <xdr:to>
          <xdr:col>12</xdr:col>
          <xdr:colOff>627154</xdr:colOff>
          <xdr:row>24</xdr:row>
          <xdr:rowOff>239372</xdr:rowOff>
        </xdr:to>
        <xdr:sp macro="" textlink="">
          <xdr:nvSpPr>
            <xdr:cNvPr id="71932" name="Check Box 252" descr="Fosfaat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71933" name="Check Box 253" descr="Leuko's + diff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16</xdr:row>
          <xdr:rowOff>0</xdr:rowOff>
        </xdr:from>
        <xdr:to>
          <xdr:col>10</xdr:col>
          <xdr:colOff>627154</xdr:colOff>
          <xdr:row>16</xdr:row>
          <xdr:rowOff>220222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0</xdr:rowOff>
        </xdr:from>
        <xdr:to>
          <xdr:col>2</xdr:col>
          <xdr:colOff>627154</xdr:colOff>
          <xdr:row>37</xdr:row>
          <xdr:rowOff>229797</xdr:rowOff>
        </xdr:to>
        <xdr:sp macro="" textlink="">
          <xdr:nvSpPr>
            <xdr:cNvPr id="71942" name="Check Box 262" descr="NICU APTT 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0</xdr:rowOff>
        </xdr:from>
        <xdr:to>
          <xdr:col>6</xdr:col>
          <xdr:colOff>627154</xdr:colOff>
          <xdr:row>37</xdr:row>
          <xdr:rowOff>229797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0</xdr:rowOff>
        </xdr:from>
        <xdr:to>
          <xdr:col>8</xdr:col>
          <xdr:colOff>627154</xdr:colOff>
          <xdr:row>37</xdr:row>
          <xdr:rowOff>229797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37</xdr:row>
          <xdr:rowOff>0</xdr:rowOff>
        </xdr:from>
        <xdr:to>
          <xdr:col>16</xdr:col>
          <xdr:colOff>627154</xdr:colOff>
          <xdr:row>37</xdr:row>
          <xdr:rowOff>229797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0</xdr:rowOff>
        </xdr:from>
        <xdr:to>
          <xdr:col>4</xdr:col>
          <xdr:colOff>627154</xdr:colOff>
          <xdr:row>37</xdr:row>
          <xdr:rowOff>229797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37</xdr:row>
          <xdr:rowOff>0</xdr:rowOff>
        </xdr:from>
        <xdr:to>
          <xdr:col>10</xdr:col>
          <xdr:colOff>627154</xdr:colOff>
          <xdr:row>37</xdr:row>
          <xdr:rowOff>229797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0</xdr:rowOff>
        </xdr:from>
        <xdr:to>
          <xdr:col>12</xdr:col>
          <xdr:colOff>627154</xdr:colOff>
          <xdr:row>37</xdr:row>
          <xdr:rowOff>229797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71951" name="Check Box 271" descr="Triglyceriden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71952" name="Check Box 272" descr="Fosfaat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71953" name="Check Box 273" descr="Fosfaat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33</xdr:row>
          <xdr:rowOff>19150</xdr:rowOff>
        </xdr:from>
        <xdr:to>
          <xdr:col>16</xdr:col>
          <xdr:colOff>627154</xdr:colOff>
          <xdr:row>33</xdr:row>
          <xdr:rowOff>239372</xdr:rowOff>
        </xdr:to>
        <xdr:sp macro="" textlink="">
          <xdr:nvSpPr>
            <xdr:cNvPr id="71954" name="Check Box 274" descr="Fosfaat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71955" name="Check Box 275" descr="Fosfaat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33</xdr:row>
          <xdr:rowOff>19150</xdr:rowOff>
        </xdr:from>
        <xdr:to>
          <xdr:col>10</xdr:col>
          <xdr:colOff>627154</xdr:colOff>
          <xdr:row>33</xdr:row>
          <xdr:rowOff>239372</xdr:rowOff>
        </xdr:to>
        <xdr:sp macro="" textlink="">
          <xdr:nvSpPr>
            <xdr:cNvPr id="71958" name="Check Box 278" descr="Fosfaat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71959" name="Check Box 279" descr="Fosfaat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71960" name="Check Box 280" descr="Triglyceriden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10</xdr:row>
          <xdr:rowOff>0</xdr:rowOff>
        </xdr:from>
        <xdr:to>
          <xdr:col>18</xdr:col>
          <xdr:colOff>627154</xdr:colOff>
          <xdr:row>10</xdr:row>
          <xdr:rowOff>220222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11</xdr:row>
          <xdr:rowOff>0</xdr:rowOff>
        </xdr:from>
        <xdr:to>
          <xdr:col>18</xdr:col>
          <xdr:colOff>627154</xdr:colOff>
          <xdr:row>11</xdr:row>
          <xdr:rowOff>220222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13</xdr:row>
          <xdr:rowOff>0</xdr:rowOff>
        </xdr:from>
        <xdr:to>
          <xdr:col>18</xdr:col>
          <xdr:colOff>627154</xdr:colOff>
          <xdr:row>13</xdr:row>
          <xdr:rowOff>220222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14</xdr:row>
          <xdr:rowOff>0</xdr:rowOff>
        </xdr:from>
        <xdr:to>
          <xdr:col>18</xdr:col>
          <xdr:colOff>627154</xdr:colOff>
          <xdr:row>14</xdr:row>
          <xdr:rowOff>220222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20</xdr:row>
          <xdr:rowOff>0</xdr:rowOff>
        </xdr:from>
        <xdr:to>
          <xdr:col>18</xdr:col>
          <xdr:colOff>617579</xdr:colOff>
          <xdr:row>20</xdr:row>
          <xdr:rowOff>220222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19</xdr:row>
          <xdr:rowOff>0</xdr:rowOff>
        </xdr:from>
        <xdr:to>
          <xdr:col>18</xdr:col>
          <xdr:colOff>627154</xdr:colOff>
          <xdr:row>19</xdr:row>
          <xdr:rowOff>220222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36</xdr:row>
          <xdr:rowOff>0</xdr:rowOff>
        </xdr:from>
        <xdr:to>
          <xdr:col>18</xdr:col>
          <xdr:colOff>627154</xdr:colOff>
          <xdr:row>36</xdr:row>
          <xdr:rowOff>229797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22</xdr:row>
          <xdr:rowOff>0</xdr:rowOff>
        </xdr:from>
        <xdr:to>
          <xdr:col>18</xdr:col>
          <xdr:colOff>627154</xdr:colOff>
          <xdr:row>22</xdr:row>
          <xdr:rowOff>220222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25</xdr:row>
          <xdr:rowOff>0</xdr:rowOff>
        </xdr:from>
        <xdr:to>
          <xdr:col>18</xdr:col>
          <xdr:colOff>627154</xdr:colOff>
          <xdr:row>25</xdr:row>
          <xdr:rowOff>220222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26</xdr:row>
          <xdr:rowOff>0</xdr:rowOff>
        </xdr:from>
        <xdr:to>
          <xdr:col>18</xdr:col>
          <xdr:colOff>627154</xdr:colOff>
          <xdr:row>26</xdr:row>
          <xdr:rowOff>220222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27</xdr:row>
          <xdr:rowOff>0</xdr:rowOff>
        </xdr:from>
        <xdr:to>
          <xdr:col>18</xdr:col>
          <xdr:colOff>627154</xdr:colOff>
          <xdr:row>27</xdr:row>
          <xdr:rowOff>220222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18</xdr:row>
          <xdr:rowOff>0</xdr:rowOff>
        </xdr:from>
        <xdr:to>
          <xdr:col>18</xdr:col>
          <xdr:colOff>617579</xdr:colOff>
          <xdr:row>18</xdr:row>
          <xdr:rowOff>220222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34</xdr:row>
          <xdr:rowOff>19150</xdr:rowOff>
        </xdr:from>
        <xdr:to>
          <xdr:col>18</xdr:col>
          <xdr:colOff>627154</xdr:colOff>
          <xdr:row>34</xdr:row>
          <xdr:rowOff>239372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38</xdr:row>
          <xdr:rowOff>19150</xdr:rowOff>
        </xdr:from>
        <xdr:to>
          <xdr:col>18</xdr:col>
          <xdr:colOff>627154</xdr:colOff>
          <xdr:row>38</xdr:row>
          <xdr:rowOff>239372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12</xdr:row>
          <xdr:rowOff>0</xdr:rowOff>
        </xdr:from>
        <xdr:to>
          <xdr:col>18</xdr:col>
          <xdr:colOff>627154</xdr:colOff>
          <xdr:row>12</xdr:row>
          <xdr:rowOff>220222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23</xdr:row>
          <xdr:rowOff>0</xdr:rowOff>
        </xdr:from>
        <xdr:to>
          <xdr:col>18</xdr:col>
          <xdr:colOff>627154</xdr:colOff>
          <xdr:row>23</xdr:row>
          <xdr:rowOff>220222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39</xdr:row>
          <xdr:rowOff>19150</xdr:rowOff>
        </xdr:from>
        <xdr:to>
          <xdr:col>18</xdr:col>
          <xdr:colOff>627154</xdr:colOff>
          <xdr:row>39</xdr:row>
          <xdr:rowOff>239372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40</xdr:row>
          <xdr:rowOff>19150</xdr:rowOff>
        </xdr:from>
        <xdr:to>
          <xdr:col>18</xdr:col>
          <xdr:colOff>627154</xdr:colOff>
          <xdr:row>40</xdr:row>
          <xdr:rowOff>239372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15</xdr:row>
          <xdr:rowOff>0</xdr:rowOff>
        </xdr:from>
        <xdr:to>
          <xdr:col>18</xdr:col>
          <xdr:colOff>627154</xdr:colOff>
          <xdr:row>15</xdr:row>
          <xdr:rowOff>220222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17</xdr:row>
          <xdr:rowOff>0</xdr:rowOff>
        </xdr:from>
        <xdr:to>
          <xdr:col>18</xdr:col>
          <xdr:colOff>627154</xdr:colOff>
          <xdr:row>17</xdr:row>
          <xdr:rowOff>220222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21</xdr:row>
          <xdr:rowOff>0</xdr:rowOff>
        </xdr:from>
        <xdr:to>
          <xdr:col>18</xdr:col>
          <xdr:colOff>617579</xdr:colOff>
          <xdr:row>21</xdr:row>
          <xdr:rowOff>220222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28</xdr:row>
          <xdr:rowOff>0</xdr:rowOff>
        </xdr:from>
        <xdr:to>
          <xdr:col>18</xdr:col>
          <xdr:colOff>627154</xdr:colOff>
          <xdr:row>28</xdr:row>
          <xdr:rowOff>220222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29</xdr:row>
          <xdr:rowOff>0</xdr:rowOff>
        </xdr:from>
        <xdr:to>
          <xdr:col>18</xdr:col>
          <xdr:colOff>627154</xdr:colOff>
          <xdr:row>29</xdr:row>
          <xdr:rowOff>220222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30</xdr:row>
          <xdr:rowOff>0</xdr:rowOff>
        </xdr:from>
        <xdr:to>
          <xdr:col>18</xdr:col>
          <xdr:colOff>627154</xdr:colOff>
          <xdr:row>30</xdr:row>
          <xdr:rowOff>220222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31</xdr:row>
          <xdr:rowOff>0</xdr:rowOff>
        </xdr:from>
        <xdr:to>
          <xdr:col>18</xdr:col>
          <xdr:colOff>627154</xdr:colOff>
          <xdr:row>31</xdr:row>
          <xdr:rowOff>220222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32</xdr:row>
          <xdr:rowOff>0</xdr:rowOff>
        </xdr:from>
        <xdr:to>
          <xdr:col>18</xdr:col>
          <xdr:colOff>627154</xdr:colOff>
          <xdr:row>32</xdr:row>
          <xdr:rowOff>220222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35</xdr:row>
          <xdr:rowOff>0</xdr:rowOff>
        </xdr:from>
        <xdr:to>
          <xdr:col>18</xdr:col>
          <xdr:colOff>627154</xdr:colOff>
          <xdr:row>35</xdr:row>
          <xdr:rowOff>229797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24</xdr:row>
          <xdr:rowOff>19150</xdr:rowOff>
        </xdr:from>
        <xdr:to>
          <xdr:col>18</xdr:col>
          <xdr:colOff>627154</xdr:colOff>
          <xdr:row>24</xdr:row>
          <xdr:rowOff>239372</xdr:rowOff>
        </xdr:to>
        <xdr:sp macro="" textlink="">
          <xdr:nvSpPr>
            <xdr:cNvPr id="71988" name="Check Box 308" descr="Fosfaat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16</xdr:row>
          <xdr:rowOff>0</xdr:rowOff>
        </xdr:from>
        <xdr:to>
          <xdr:col>18</xdr:col>
          <xdr:colOff>627154</xdr:colOff>
          <xdr:row>16</xdr:row>
          <xdr:rowOff>220222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37</xdr:row>
          <xdr:rowOff>0</xdr:rowOff>
        </xdr:from>
        <xdr:to>
          <xdr:col>18</xdr:col>
          <xdr:colOff>627154</xdr:colOff>
          <xdr:row>37</xdr:row>
          <xdr:rowOff>229797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33</xdr:row>
          <xdr:rowOff>19150</xdr:rowOff>
        </xdr:from>
        <xdr:to>
          <xdr:col>18</xdr:col>
          <xdr:colOff>627154</xdr:colOff>
          <xdr:row>33</xdr:row>
          <xdr:rowOff>239372</xdr:rowOff>
        </xdr:to>
        <xdr:sp macro="" textlink="">
          <xdr:nvSpPr>
            <xdr:cNvPr id="71991" name="Check Box 311" descr="Fosfaat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10</xdr:row>
          <xdr:rowOff>0</xdr:rowOff>
        </xdr:from>
        <xdr:to>
          <xdr:col>20</xdr:col>
          <xdr:colOff>627154</xdr:colOff>
          <xdr:row>10</xdr:row>
          <xdr:rowOff>220222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11</xdr:row>
          <xdr:rowOff>0</xdr:rowOff>
        </xdr:from>
        <xdr:to>
          <xdr:col>20</xdr:col>
          <xdr:colOff>627154</xdr:colOff>
          <xdr:row>11</xdr:row>
          <xdr:rowOff>220222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13</xdr:row>
          <xdr:rowOff>0</xdr:rowOff>
        </xdr:from>
        <xdr:to>
          <xdr:col>20</xdr:col>
          <xdr:colOff>627154</xdr:colOff>
          <xdr:row>13</xdr:row>
          <xdr:rowOff>220222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14</xdr:row>
          <xdr:rowOff>0</xdr:rowOff>
        </xdr:from>
        <xdr:to>
          <xdr:col>20</xdr:col>
          <xdr:colOff>627154</xdr:colOff>
          <xdr:row>14</xdr:row>
          <xdr:rowOff>220222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20</xdr:row>
          <xdr:rowOff>0</xdr:rowOff>
        </xdr:from>
        <xdr:to>
          <xdr:col>20</xdr:col>
          <xdr:colOff>617579</xdr:colOff>
          <xdr:row>20</xdr:row>
          <xdr:rowOff>220222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19</xdr:row>
          <xdr:rowOff>0</xdr:rowOff>
        </xdr:from>
        <xdr:to>
          <xdr:col>20</xdr:col>
          <xdr:colOff>627154</xdr:colOff>
          <xdr:row>19</xdr:row>
          <xdr:rowOff>220222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36</xdr:row>
          <xdr:rowOff>0</xdr:rowOff>
        </xdr:from>
        <xdr:to>
          <xdr:col>20</xdr:col>
          <xdr:colOff>627154</xdr:colOff>
          <xdr:row>36</xdr:row>
          <xdr:rowOff>229797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22</xdr:row>
          <xdr:rowOff>0</xdr:rowOff>
        </xdr:from>
        <xdr:to>
          <xdr:col>20</xdr:col>
          <xdr:colOff>627154</xdr:colOff>
          <xdr:row>22</xdr:row>
          <xdr:rowOff>220222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25</xdr:row>
          <xdr:rowOff>0</xdr:rowOff>
        </xdr:from>
        <xdr:to>
          <xdr:col>20</xdr:col>
          <xdr:colOff>627154</xdr:colOff>
          <xdr:row>25</xdr:row>
          <xdr:rowOff>220222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26</xdr:row>
          <xdr:rowOff>0</xdr:rowOff>
        </xdr:from>
        <xdr:to>
          <xdr:col>20</xdr:col>
          <xdr:colOff>627154</xdr:colOff>
          <xdr:row>26</xdr:row>
          <xdr:rowOff>220222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27</xdr:row>
          <xdr:rowOff>0</xdr:rowOff>
        </xdr:from>
        <xdr:to>
          <xdr:col>20</xdr:col>
          <xdr:colOff>627154</xdr:colOff>
          <xdr:row>27</xdr:row>
          <xdr:rowOff>220222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18</xdr:row>
          <xdr:rowOff>0</xdr:rowOff>
        </xdr:from>
        <xdr:to>
          <xdr:col>20</xdr:col>
          <xdr:colOff>617579</xdr:colOff>
          <xdr:row>18</xdr:row>
          <xdr:rowOff>220222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34</xdr:row>
          <xdr:rowOff>19150</xdr:rowOff>
        </xdr:from>
        <xdr:to>
          <xdr:col>20</xdr:col>
          <xdr:colOff>627154</xdr:colOff>
          <xdr:row>34</xdr:row>
          <xdr:rowOff>239372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38</xdr:row>
          <xdr:rowOff>19150</xdr:rowOff>
        </xdr:from>
        <xdr:to>
          <xdr:col>20</xdr:col>
          <xdr:colOff>627154</xdr:colOff>
          <xdr:row>38</xdr:row>
          <xdr:rowOff>239372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12</xdr:row>
          <xdr:rowOff>0</xdr:rowOff>
        </xdr:from>
        <xdr:to>
          <xdr:col>20</xdr:col>
          <xdr:colOff>627154</xdr:colOff>
          <xdr:row>12</xdr:row>
          <xdr:rowOff>220222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23</xdr:row>
          <xdr:rowOff>0</xdr:rowOff>
        </xdr:from>
        <xdr:to>
          <xdr:col>20</xdr:col>
          <xdr:colOff>627154</xdr:colOff>
          <xdr:row>23</xdr:row>
          <xdr:rowOff>220222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39</xdr:row>
          <xdr:rowOff>19150</xdr:rowOff>
        </xdr:from>
        <xdr:to>
          <xdr:col>20</xdr:col>
          <xdr:colOff>627154</xdr:colOff>
          <xdr:row>39</xdr:row>
          <xdr:rowOff>239372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40</xdr:row>
          <xdr:rowOff>19150</xdr:rowOff>
        </xdr:from>
        <xdr:to>
          <xdr:col>20</xdr:col>
          <xdr:colOff>627154</xdr:colOff>
          <xdr:row>40</xdr:row>
          <xdr:rowOff>239372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15</xdr:row>
          <xdr:rowOff>0</xdr:rowOff>
        </xdr:from>
        <xdr:to>
          <xdr:col>20</xdr:col>
          <xdr:colOff>627154</xdr:colOff>
          <xdr:row>15</xdr:row>
          <xdr:rowOff>220222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17</xdr:row>
          <xdr:rowOff>0</xdr:rowOff>
        </xdr:from>
        <xdr:to>
          <xdr:col>20</xdr:col>
          <xdr:colOff>627154</xdr:colOff>
          <xdr:row>17</xdr:row>
          <xdr:rowOff>220222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21</xdr:row>
          <xdr:rowOff>0</xdr:rowOff>
        </xdr:from>
        <xdr:to>
          <xdr:col>20</xdr:col>
          <xdr:colOff>617579</xdr:colOff>
          <xdr:row>21</xdr:row>
          <xdr:rowOff>220222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28</xdr:row>
          <xdr:rowOff>0</xdr:rowOff>
        </xdr:from>
        <xdr:to>
          <xdr:col>20</xdr:col>
          <xdr:colOff>627154</xdr:colOff>
          <xdr:row>28</xdr:row>
          <xdr:rowOff>220222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29</xdr:row>
          <xdr:rowOff>0</xdr:rowOff>
        </xdr:from>
        <xdr:to>
          <xdr:col>20</xdr:col>
          <xdr:colOff>627154</xdr:colOff>
          <xdr:row>29</xdr:row>
          <xdr:rowOff>220222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30</xdr:row>
          <xdr:rowOff>0</xdr:rowOff>
        </xdr:from>
        <xdr:to>
          <xdr:col>20</xdr:col>
          <xdr:colOff>627154</xdr:colOff>
          <xdr:row>30</xdr:row>
          <xdr:rowOff>220222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31</xdr:row>
          <xdr:rowOff>0</xdr:rowOff>
        </xdr:from>
        <xdr:to>
          <xdr:col>20</xdr:col>
          <xdr:colOff>627154</xdr:colOff>
          <xdr:row>31</xdr:row>
          <xdr:rowOff>220222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32</xdr:row>
          <xdr:rowOff>0</xdr:rowOff>
        </xdr:from>
        <xdr:to>
          <xdr:col>20</xdr:col>
          <xdr:colOff>627154</xdr:colOff>
          <xdr:row>32</xdr:row>
          <xdr:rowOff>220222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35</xdr:row>
          <xdr:rowOff>0</xdr:rowOff>
        </xdr:from>
        <xdr:to>
          <xdr:col>20</xdr:col>
          <xdr:colOff>627154</xdr:colOff>
          <xdr:row>35</xdr:row>
          <xdr:rowOff>229797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24</xdr:row>
          <xdr:rowOff>19150</xdr:rowOff>
        </xdr:from>
        <xdr:to>
          <xdr:col>20</xdr:col>
          <xdr:colOff>627154</xdr:colOff>
          <xdr:row>24</xdr:row>
          <xdr:rowOff>239372</xdr:rowOff>
        </xdr:to>
        <xdr:sp macro="" textlink="">
          <xdr:nvSpPr>
            <xdr:cNvPr id="72019" name="Check Box 339" descr="Fosfaat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16</xdr:row>
          <xdr:rowOff>0</xdr:rowOff>
        </xdr:from>
        <xdr:to>
          <xdr:col>20</xdr:col>
          <xdr:colOff>627154</xdr:colOff>
          <xdr:row>16</xdr:row>
          <xdr:rowOff>220222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37</xdr:row>
          <xdr:rowOff>0</xdr:rowOff>
        </xdr:from>
        <xdr:to>
          <xdr:col>20</xdr:col>
          <xdr:colOff>627154</xdr:colOff>
          <xdr:row>37</xdr:row>
          <xdr:rowOff>229797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33</xdr:row>
          <xdr:rowOff>19150</xdr:rowOff>
        </xdr:from>
        <xdr:to>
          <xdr:col>20</xdr:col>
          <xdr:colOff>627154</xdr:colOff>
          <xdr:row>33</xdr:row>
          <xdr:rowOff>239372</xdr:rowOff>
        </xdr:to>
        <xdr:sp macro="" textlink="">
          <xdr:nvSpPr>
            <xdr:cNvPr id="72022" name="Check Box 342" descr="Fosfaat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713328</xdr:colOff>
          <xdr:row>3</xdr:row>
          <xdr:rowOff>9575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2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63" Type="http://schemas.openxmlformats.org/officeDocument/2006/relationships/ctrlProp" Target="../ctrlProps/ctrlProp59.xml"/><Relationship Id="rId68" Type="http://schemas.openxmlformats.org/officeDocument/2006/relationships/ctrlProp" Target="../ctrlProps/ctrlProp64.xml"/><Relationship Id="rId16" Type="http://schemas.openxmlformats.org/officeDocument/2006/relationships/ctrlProp" Target="../ctrlProps/ctrlProp12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53" Type="http://schemas.openxmlformats.org/officeDocument/2006/relationships/ctrlProp" Target="../ctrlProps/ctrlProp49.xml"/><Relationship Id="rId58" Type="http://schemas.openxmlformats.org/officeDocument/2006/relationships/ctrlProp" Target="../ctrlProps/ctrlProp54.xml"/><Relationship Id="rId74" Type="http://schemas.openxmlformats.org/officeDocument/2006/relationships/ctrlProp" Target="../ctrlProps/ctrlProp70.xml"/><Relationship Id="rId79" Type="http://schemas.openxmlformats.org/officeDocument/2006/relationships/ctrlProp" Target="../ctrlProps/ctrlProp75.xml"/><Relationship Id="rId5" Type="http://schemas.openxmlformats.org/officeDocument/2006/relationships/ctrlProp" Target="../ctrlProps/ctrlProp1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9" Type="http://schemas.openxmlformats.org/officeDocument/2006/relationships/ctrlProp" Target="../ctrlProps/ctrlProp1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56" Type="http://schemas.openxmlformats.org/officeDocument/2006/relationships/ctrlProp" Target="../ctrlProps/ctrlProp52.xml"/><Relationship Id="rId64" Type="http://schemas.openxmlformats.org/officeDocument/2006/relationships/ctrlProp" Target="../ctrlProps/ctrlProp60.xml"/><Relationship Id="rId69" Type="http://schemas.openxmlformats.org/officeDocument/2006/relationships/ctrlProp" Target="../ctrlProps/ctrlProp65.xml"/><Relationship Id="rId77" Type="http://schemas.openxmlformats.org/officeDocument/2006/relationships/ctrlProp" Target="../ctrlProps/ctrlProp73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80" Type="http://schemas.openxmlformats.org/officeDocument/2006/relationships/ctrlProp" Target="../ctrlProps/ctrlProp76.xml"/><Relationship Id="rId3" Type="http://schemas.openxmlformats.org/officeDocument/2006/relationships/drawing" Target="../drawings/drawing1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59" Type="http://schemas.openxmlformats.org/officeDocument/2006/relationships/ctrlProp" Target="../ctrlProps/ctrlProp55.xml"/><Relationship Id="rId67" Type="http://schemas.openxmlformats.org/officeDocument/2006/relationships/ctrlProp" Target="../ctrlProps/ctrlProp63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54" Type="http://schemas.openxmlformats.org/officeDocument/2006/relationships/ctrlProp" Target="../ctrlProps/ctrlProp50.xml"/><Relationship Id="rId62" Type="http://schemas.openxmlformats.org/officeDocument/2006/relationships/ctrlProp" Target="../ctrlProps/ctrlProp58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57" Type="http://schemas.openxmlformats.org/officeDocument/2006/relationships/ctrlProp" Target="../ctrlProps/ctrlProp5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52" Type="http://schemas.openxmlformats.org/officeDocument/2006/relationships/ctrlProp" Target="../ctrlProps/ctrlProp48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81" Type="http://schemas.openxmlformats.org/officeDocument/2006/relationships/ctrlProp" Target="../ctrlProps/ctrlProp7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2" Type="http://schemas.openxmlformats.org/officeDocument/2006/relationships/printerSettings" Target="../printerSettings/printerSettings11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91.xml"/><Relationship Id="rId21" Type="http://schemas.openxmlformats.org/officeDocument/2006/relationships/ctrlProp" Target="../ctrlProps/ctrlProp95.xml"/><Relationship Id="rId42" Type="http://schemas.openxmlformats.org/officeDocument/2006/relationships/ctrlProp" Target="../ctrlProps/ctrlProp116.xml"/><Relationship Id="rId63" Type="http://schemas.openxmlformats.org/officeDocument/2006/relationships/ctrlProp" Target="../ctrlProps/ctrlProp137.xml"/><Relationship Id="rId84" Type="http://schemas.openxmlformats.org/officeDocument/2006/relationships/ctrlProp" Target="../ctrlProps/ctrlProp158.xml"/><Relationship Id="rId138" Type="http://schemas.openxmlformats.org/officeDocument/2006/relationships/ctrlProp" Target="../ctrlProps/ctrlProp212.xml"/><Relationship Id="rId159" Type="http://schemas.openxmlformats.org/officeDocument/2006/relationships/ctrlProp" Target="../ctrlProps/ctrlProp233.xml"/><Relationship Id="rId170" Type="http://schemas.openxmlformats.org/officeDocument/2006/relationships/ctrlProp" Target="../ctrlProps/ctrlProp244.xml"/><Relationship Id="rId191" Type="http://schemas.openxmlformats.org/officeDocument/2006/relationships/ctrlProp" Target="../ctrlProps/ctrlProp265.xml"/><Relationship Id="rId205" Type="http://schemas.openxmlformats.org/officeDocument/2006/relationships/ctrlProp" Target="../ctrlProps/ctrlProp279.xml"/><Relationship Id="rId226" Type="http://schemas.openxmlformats.org/officeDocument/2006/relationships/ctrlProp" Target="../ctrlProps/ctrlProp300.xml"/><Relationship Id="rId107" Type="http://schemas.openxmlformats.org/officeDocument/2006/relationships/ctrlProp" Target="../ctrlProps/ctrlProp181.xml"/><Relationship Id="rId11" Type="http://schemas.openxmlformats.org/officeDocument/2006/relationships/ctrlProp" Target="../ctrlProps/ctrlProp85.xml"/><Relationship Id="rId32" Type="http://schemas.openxmlformats.org/officeDocument/2006/relationships/ctrlProp" Target="../ctrlProps/ctrlProp106.xml"/><Relationship Id="rId53" Type="http://schemas.openxmlformats.org/officeDocument/2006/relationships/ctrlProp" Target="../ctrlProps/ctrlProp127.xml"/><Relationship Id="rId74" Type="http://schemas.openxmlformats.org/officeDocument/2006/relationships/ctrlProp" Target="../ctrlProps/ctrlProp148.xml"/><Relationship Id="rId128" Type="http://schemas.openxmlformats.org/officeDocument/2006/relationships/ctrlProp" Target="../ctrlProps/ctrlProp202.xml"/><Relationship Id="rId149" Type="http://schemas.openxmlformats.org/officeDocument/2006/relationships/ctrlProp" Target="../ctrlProps/ctrlProp223.xml"/><Relationship Id="rId5" Type="http://schemas.openxmlformats.org/officeDocument/2006/relationships/ctrlProp" Target="../ctrlProps/ctrlProp79.xml"/><Relationship Id="rId95" Type="http://schemas.openxmlformats.org/officeDocument/2006/relationships/ctrlProp" Target="../ctrlProps/ctrlProp169.xml"/><Relationship Id="rId160" Type="http://schemas.openxmlformats.org/officeDocument/2006/relationships/ctrlProp" Target="../ctrlProps/ctrlProp234.xml"/><Relationship Id="rId181" Type="http://schemas.openxmlformats.org/officeDocument/2006/relationships/ctrlProp" Target="../ctrlProps/ctrlProp255.xml"/><Relationship Id="rId216" Type="http://schemas.openxmlformats.org/officeDocument/2006/relationships/ctrlProp" Target="../ctrlProps/ctrlProp290.xml"/><Relationship Id="rId237" Type="http://schemas.openxmlformats.org/officeDocument/2006/relationships/ctrlProp" Target="../ctrlProps/ctrlProp311.xml"/><Relationship Id="rId22" Type="http://schemas.openxmlformats.org/officeDocument/2006/relationships/ctrlProp" Target="../ctrlProps/ctrlProp96.xml"/><Relationship Id="rId43" Type="http://schemas.openxmlformats.org/officeDocument/2006/relationships/ctrlProp" Target="../ctrlProps/ctrlProp117.xml"/><Relationship Id="rId64" Type="http://schemas.openxmlformats.org/officeDocument/2006/relationships/ctrlProp" Target="../ctrlProps/ctrlProp138.xml"/><Relationship Id="rId118" Type="http://schemas.openxmlformats.org/officeDocument/2006/relationships/ctrlProp" Target="../ctrlProps/ctrlProp192.xml"/><Relationship Id="rId139" Type="http://schemas.openxmlformats.org/officeDocument/2006/relationships/ctrlProp" Target="../ctrlProps/ctrlProp213.xml"/><Relationship Id="rId85" Type="http://schemas.openxmlformats.org/officeDocument/2006/relationships/ctrlProp" Target="../ctrlProps/ctrlProp159.xml"/><Relationship Id="rId150" Type="http://schemas.openxmlformats.org/officeDocument/2006/relationships/ctrlProp" Target="../ctrlProps/ctrlProp224.xml"/><Relationship Id="rId171" Type="http://schemas.openxmlformats.org/officeDocument/2006/relationships/ctrlProp" Target="../ctrlProps/ctrlProp245.xml"/><Relationship Id="rId192" Type="http://schemas.openxmlformats.org/officeDocument/2006/relationships/ctrlProp" Target="../ctrlProps/ctrlProp266.xml"/><Relationship Id="rId206" Type="http://schemas.openxmlformats.org/officeDocument/2006/relationships/ctrlProp" Target="../ctrlProps/ctrlProp280.xml"/><Relationship Id="rId227" Type="http://schemas.openxmlformats.org/officeDocument/2006/relationships/ctrlProp" Target="../ctrlProps/ctrlProp301.xml"/><Relationship Id="rId12" Type="http://schemas.openxmlformats.org/officeDocument/2006/relationships/ctrlProp" Target="../ctrlProps/ctrlProp86.xml"/><Relationship Id="rId33" Type="http://schemas.openxmlformats.org/officeDocument/2006/relationships/ctrlProp" Target="../ctrlProps/ctrlProp107.xml"/><Relationship Id="rId108" Type="http://schemas.openxmlformats.org/officeDocument/2006/relationships/ctrlProp" Target="../ctrlProps/ctrlProp182.xml"/><Relationship Id="rId129" Type="http://schemas.openxmlformats.org/officeDocument/2006/relationships/ctrlProp" Target="../ctrlProps/ctrlProp203.xml"/><Relationship Id="rId54" Type="http://schemas.openxmlformats.org/officeDocument/2006/relationships/ctrlProp" Target="../ctrlProps/ctrlProp128.xml"/><Relationship Id="rId75" Type="http://schemas.openxmlformats.org/officeDocument/2006/relationships/ctrlProp" Target="../ctrlProps/ctrlProp149.xml"/><Relationship Id="rId96" Type="http://schemas.openxmlformats.org/officeDocument/2006/relationships/ctrlProp" Target="../ctrlProps/ctrlProp170.xml"/><Relationship Id="rId140" Type="http://schemas.openxmlformats.org/officeDocument/2006/relationships/ctrlProp" Target="../ctrlProps/ctrlProp214.xml"/><Relationship Id="rId161" Type="http://schemas.openxmlformats.org/officeDocument/2006/relationships/ctrlProp" Target="../ctrlProps/ctrlProp235.xml"/><Relationship Id="rId182" Type="http://schemas.openxmlformats.org/officeDocument/2006/relationships/ctrlProp" Target="../ctrlProps/ctrlProp256.xml"/><Relationship Id="rId217" Type="http://schemas.openxmlformats.org/officeDocument/2006/relationships/ctrlProp" Target="../ctrlProps/ctrlProp291.xml"/><Relationship Id="rId6" Type="http://schemas.openxmlformats.org/officeDocument/2006/relationships/ctrlProp" Target="../ctrlProps/ctrlProp80.xml"/><Relationship Id="rId238" Type="http://schemas.openxmlformats.org/officeDocument/2006/relationships/ctrlProp" Target="../ctrlProps/ctrlProp312.xml"/><Relationship Id="rId23" Type="http://schemas.openxmlformats.org/officeDocument/2006/relationships/ctrlProp" Target="../ctrlProps/ctrlProp97.xml"/><Relationship Id="rId119" Type="http://schemas.openxmlformats.org/officeDocument/2006/relationships/ctrlProp" Target="../ctrlProps/ctrlProp193.xml"/><Relationship Id="rId44" Type="http://schemas.openxmlformats.org/officeDocument/2006/relationships/ctrlProp" Target="../ctrlProps/ctrlProp118.xml"/><Relationship Id="rId65" Type="http://schemas.openxmlformats.org/officeDocument/2006/relationships/ctrlProp" Target="../ctrlProps/ctrlProp139.xml"/><Relationship Id="rId86" Type="http://schemas.openxmlformats.org/officeDocument/2006/relationships/ctrlProp" Target="../ctrlProps/ctrlProp160.xml"/><Relationship Id="rId130" Type="http://schemas.openxmlformats.org/officeDocument/2006/relationships/ctrlProp" Target="../ctrlProps/ctrlProp204.xml"/><Relationship Id="rId151" Type="http://schemas.openxmlformats.org/officeDocument/2006/relationships/ctrlProp" Target="../ctrlProps/ctrlProp225.xml"/><Relationship Id="rId172" Type="http://schemas.openxmlformats.org/officeDocument/2006/relationships/ctrlProp" Target="../ctrlProps/ctrlProp246.xml"/><Relationship Id="rId193" Type="http://schemas.openxmlformats.org/officeDocument/2006/relationships/ctrlProp" Target="../ctrlProps/ctrlProp267.xml"/><Relationship Id="rId207" Type="http://schemas.openxmlformats.org/officeDocument/2006/relationships/ctrlProp" Target="../ctrlProps/ctrlProp281.xml"/><Relationship Id="rId228" Type="http://schemas.openxmlformats.org/officeDocument/2006/relationships/ctrlProp" Target="../ctrlProps/ctrlProp302.xml"/><Relationship Id="rId13" Type="http://schemas.openxmlformats.org/officeDocument/2006/relationships/ctrlProp" Target="../ctrlProps/ctrlProp87.xml"/><Relationship Id="rId109" Type="http://schemas.openxmlformats.org/officeDocument/2006/relationships/ctrlProp" Target="../ctrlProps/ctrlProp183.xml"/><Relationship Id="rId34" Type="http://schemas.openxmlformats.org/officeDocument/2006/relationships/ctrlProp" Target="../ctrlProps/ctrlProp108.xml"/><Relationship Id="rId55" Type="http://schemas.openxmlformats.org/officeDocument/2006/relationships/ctrlProp" Target="../ctrlProps/ctrlProp129.xml"/><Relationship Id="rId76" Type="http://schemas.openxmlformats.org/officeDocument/2006/relationships/ctrlProp" Target="../ctrlProps/ctrlProp150.xml"/><Relationship Id="rId97" Type="http://schemas.openxmlformats.org/officeDocument/2006/relationships/ctrlProp" Target="../ctrlProps/ctrlProp171.xml"/><Relationship Id="rId120" Type="http://schemas.openxmlformats.org/officeDocument/2006/relationships/ctrlProp" Target="../ctrlProps/ctrlProp194.xml"/><Relationship Id="rId141" Type="http://schemas.openxmlformats.org/officeDocument/2006/relationships/ctrlProp" Target="../ctrlProps/ctrlProp215.xml"/><Relationship Id="rId7" Type="http://schemas.openxmlformats.org/officeDocument/2006/relationships/ctrlProp" Target="../ctrlProps/ctrlProp81.xml"/><Relationship Id="rId162" Type="http://schemas.openxmlformats.org/officeDocument/2006/relationships/ctrlProp" Target="../ctrlProps/ctrlProp236.xml"/><Relationship Id="rId183" Type="http://schemas.openxmlformats.org/officeDocument/2006/relationships/ctrlProp" Target="../ctrlProps/ctrlProp257.xml"/><Relationship Id="rId218" Type="http://schemas.openxmlformats.org/officeDocument/2006/relationships/ctrlProp" Target="../ctrlProps/ctrlProp292.xml"/><Relationship Id="rId239" Type="http://schemas.openxmlformats.org/officeDocument/2006/relationships/ctrlProp" Target="../ctrlProps/ctrlProp313.xml"/><Relationship Id="rId24" Type="http://schemas.openxmlformats.org/officeDocument/2006/relationships/ctrlProp" Target="../ctrlProps/ctrlProp98.xml"/><Relationship Id="rId45" Type="http://schemas.openxmlformats.org/officeDocument/2006/relationships/ctrlProp" Target="../ctrlProps/ctrlProp119.xml"/><Relationship Id="rId66" Type="http://schemas.openxmlformats.org/officeDocument/2006/relationships/ctrlProp" Target="../ctrlProps/ctrlProp140.xml"/><Relationship Id="rId87" Type="http://schemas.openxmlformats.org/officeDocument/2006/relationships/ctrlProp" Target="../ctrlProps/ctrlProp161.xml"/><Relationship Id="rId110" Type="http://schemas.openxmlformats.org/officeDocument/2006/relationships/ctrlProp" Target="../ctrlProps/ctrlProp184.xml"/><Relationship Id="rId131" Type="http://schemas.openxmlformats.org/officeDocument/2006/relationships/ctrlProp" Target="../ctrlProps/ctrlProp205.xml"/><Relationship Id="rId152" Type="http://schemas.openxmlformats.org/officeDocument/2006/relationships/ctrlProp" Target="../ctrlProps/ctrlProp226.xml"/><Relationship Id="rId173" Type="http://schemas.openxmlformats.org/officeDocument/2006/relationships/ctrlProp" Target="../ctrlProps/ctrlProp247.xml"/><Relationship Id="rId194" Type="http://schemas.openxmlformats.org/officeDocument/2006/relationships/ctrlProp" Target="../ctrlProps/ctrlProp268.xml"/><Relationship Id="rId208" Type="http://schemas.openxmlformats.org/officeDocument/2006/relationships/ctrlProp" Target="../ctrlProps/ctrlProp282.xml"/><Relationship Id="rId229" Type="http://schemas.openxmlformats.org/officeDocument/2006/relationships/ctrlProp" Target="../ctrlProps/ctrlProp303.xml"/><Relationship Id="rId240" Type="http://schemas.openxmlformats.org/officeDocument/2006/relationships/ctrlProp" Target="../ctrlProps/ctrlProp314.xml"/><Relationship Id="rId14" Type="http://schemas.openxmlformats.org/officeDocument/2006/relationships/ctrlProp" Target="../ctrlProps/ctrlProp88.xml"/><Relationship Id="rId35" Type="http://schemas.openxmlformats.org/officeDocument/2006/relationships/ctrlProp" Target="../ctrlProps/ctrlProp109.xml"/><Relationship Id="rId56" Type="http://schemas.openxmlformats.org/officeDocument/2006/relationships/ctrlProp" Target="../ctrlProps/ctrlProp130.xml"/><Relationship Id="rId77" Type="http://schemas.openxmlformats.org/officeDocument/2006/relationships/ctrlProp" Target="../ctrlProps/ctrlProp151.xml"/><Relationship Id="rId100" Type="http://schemas.openxmlformats.org/officeDocument/2006/relationships/ctrlProp" Target="../ctrlProps/ctrlProp174.xml"/><Relationship Id="rId8" Type="http://schemas.openxmlformats.org/officeDocument/2006/relationships/ctrlProp" Target="../ctrlProps/ctrlProp82.xml"/><Relationship Id="rId98" Type="http://schemas.openxmlformats.org/officeDocument/2006/relationships/ctrlProp" Target="../ctrlProps/ctrlProp172.xml"/><Relationship Id="rId121" Type="http://schemas.openxmlformats.org/officeDocument/2006/relationships/ctrlProp" Target="../ctrlProps/ctrlProp195.xml"/><Relationship Id="rId142" Type="http://schemas.openxmlformats.org/officeDocument/2006/relationships/ctrlProp" Target="../ctrlProps/ctrlProp216.xml"/><Relationship Id="rId163" Type="http://schemas.openxmlformats.org/officeDocument/2006/relationships/ctrlProp" Target="../ctrlProps/ctrlProp237.xml"/><Relationship Id="rId184" Type="http://schemas.openxmlformats.org/officeDocument/2006/relationships/ctrlProp" Target="../ctrlProps/ctrlProp258.xml"/><Relationship Id="rId219" Type="http://schemas.openxmlformats.org/officeDocument/2006/relationships/ctrlProp" Target="../ctrlProps/ctrlProp293.xml"/><Relationship Id="rId230" Type="http://schemas.openxmlformats.org/officeDocument/2006/relationships/ctrlProp" Target="../ctrlProps/ctrlProp304.xml"/><Relationship Id="rId25" Type="http://schemas.openxmlformats.org/officeDocument/2006/relationships/ctrlProp" Target="../ctrlProps/ctrlProp99.xml"/><Relationship Id="rId46" Type="http://schemas.openxmlformats.org/officeDocument/2006/relationships/ctrlProp" Target="../ctrlProps/ctrlProp120.xml"/><Relationship Id="rId67" Type="http://schemas.openxmlformats.org/officeDocument/2006/relationships/ctrlProp" Target="../ctrlProps/ctrlProp141.xml"/><Relationship Id="rId88" Type="http://schemas.openxmlformats.org/officeDocument/2006/relationships/ctrlProp" Target="../ctrlProps/ctrlProp162.xml"/><Relationship Id="rId111" Type="http://schemas.openxmlformats.org/officeDocument/2006/relationships/ctrlProp" Target="../ctrlProps/ctrlProp185.xml"/><Relationship Id="rId132" Type="http://schemas.openxmlformats.org/officeDocument/2006/relationships/ctrlProp" Target="../ctrlProps/ctrlProp206.xml"/><Relationship Id="rId153" Type="http://schemas.openxmlformats.org/officeDocument/2006/relationships/ctrlProp" Target="../ctrlProps/ctrlProp227.xml"/><Relationship Id="rId174" Type="http://schemas.openxmlformats.org/officeDocument/2006/relationships/ctrlProp" Target="../ctrlProps/ctrlProp248.xml"/><Relationship Id="rId195" Type="http://schemas.openxmlformats.org/officeDocument/2006/relationships/ctrlProp" Target="../ctrlProps/ctrlProp269.xml"/><Relationship Id="rId209" Type="http://schemas.openxmlformats.org/officeDocument/2006/relationships/ctrlProp" Target="../ctrlProps/ctrlProp283.xml"/><Relationship Id="rId220" Type="http://schemas.openxmlformats.org/officeDocument/2006/relationships/ctrlProp" Target="../ctrlProps/ctrlProp294.xml"/><Relationship Id="rId241" Type="http://schemas.openxmlformats.org/officeDocument/2006/relationships/ctrlProp" Target="../ctrlProps/ctrlProp315.xml"/><Relationship Id="rId15" Type="http://schemas.openxmlformats.org/officeDocument/2006/relationships/ctrlProp" Target="../ctrlProps/ctrlProp89.xml"/><Relationship Id="rId36" Type="http://schemas.openxmlformats.org/officeDocument/2006/relationships/ctrlProp" Target="../ctrlProps/ctrlProp110.xml"/><Relationship Id="rId57" Type="http://schemas.openxmlformats.org/officeDocument/2006/relationships/ctrlProp" Target="../ctrlProps/ctrlProp131.xml"/><Relationship Id="rId10" Type="http://schemas.openxmlformats.org/officeDocument/2006/relationships/ctrlProp" Target="../ctrlProps/ctrlProp84.xml"/><Relationship Id="rId31" Type="http://schemas.openxmlformats.org/officeDocument/2006/relationships/ctrlProp" Target="../ctrlProps/ctrlProp105.xml"/><Relationship Id="rId52" Type="http://schemas.openxmlformats.org/officeDocument/2006/relationships/ctrlProp" Target="../ctrlProps/ctrlProp126.xml"/><Relationship Id="rId73" Type="http://schemas.openxmlformats.org/officeDocument/2006/relationships/ctrlProp" Target="../ctrlProps/ctrlProp147.xml"/><Relationship Id="rId78" Type="http://schemas.openxmlformats.org/officeDocument/2006/relationships/ctrlProp" Target="../ctrlProps/ctrlProp152.xml"/><Relationship Id="rId94" Type="http://schemas.openxmlformats.org/officeDocument/2006/relationships/ctrlProp" Target="../ctrlProps/ctrlProp168.xml"/><Relationship Id="rId99" Type="http://schemas.openxmlformats.org/officeDocument/2006/relationships/ctrlProp" Target="../ctrlProps/ctrlProp173.xml"/><Relationship Id="rId101" Type="http://schemas.openxmlformats.org/officeDocument/2006/relationships/ctrlProp" Target="../ctrlProps/ctrlProp175.xml"/><Relationship Id="rId122" Type="http://schemas.openxmlformats.org/officeDocument/2006/relationships/ctrlProp" Target="../ctrlProps/ctrlProp196.xml"/><Relationship Id="rId143" Type="http://schemas.openxmlformats.org/officeDocument/2006/relationships/ctrlProp" Target="../ctrlProps/ctrlProp217.xml"/><Relationship Id="rId148" Type="http://schemas.openxmlformats.org/officeDocument/2006/relationships/ctrlProp" Target="../ctrlProps/ctrlProp222.xml"/><Relationship Id="rId164" Type="http://schemas.openxmlformats.org/officeDocument/2006/relationships/ctrlProp" Target="../ctrlProps/ctrlProp238.xml"/><Relationship Id="rId169" Type="http://schemas.openxmlformats.org/officeDocument/2006/relationships/ctrlProp" Target="../ctrlProps/ctrlProp243.xml"/><Relationship Id="rId185" Type="http://schemas.openxmlformats.org/officeDocument/2006/relationships/ctrlProp" Target="../ctrlProps/ctrlProp259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83.xml"/><Relationship Id="rId180" Type="http://schemas.openxmlformats.org/officeDocument/2006/relationships/ctrlProp" Target="../ctrlProps/ctrlProp254.xml"/><Relationship Id="rId210" Type="http://schemas.openxmlformats.org/officeDocument/2006/relationships/ctrlProp" Target="../ctrlProps/ctrlProp284.xml"/><Relationship Id="rId215" Type="http://schemas.openxmlformats.org/officeDocument/2006/relationships/ctrlProp" Target="../ctrlProps/ctrlProp289.xml"/><Relationship Id="rId236" Type="http://schemas.openxmlformats.org/officeDocument/2006/relationships/ctrlProp" Target="../ctrlProps/ctrlProp310.xml"/><Relationship Id="rId26" Type="http://schemas.openxmlformats.org/officeDocument/2006/relationships/ctrlProp" Target="../ctrlProps/ctrlProp100.xml"/><Relationship Id="rId231" Type="http://schemas.openxmlformats.org/officeDocument/2006/relationships/ctrlProp" Target="../ctrlProps/ctrlProp305.xml"/><Relationship Id="rId47" Type="http://schemas.openxmlformats.org/officeDocument/2006/relationships/ctrlProp" Target="../ctrlProps/ctrlProp121.xml"/><Relationship Id="rId68" Type="http://schemas.openxmlformats.org/officeDocument/2006/relationships/ctrlProp" Target="../ctrlProps/ctrlProp142.xml"/><Relationship Id="rId89" Type="http://schemas.openxmlformats.org/officeDocument/2006/relationships/ctrlProp" Target="../ctrlProps/ctrlProp163.xml"/><Relationship Id="rId112" Type="http://schemas.openxmlformats.org/officeDocument/2006/relationships/ctrlProp" Target="../ctrlProps/ctrlProp186.xml"/><Relationship Id="rId133" Type="http://schemas.openxmlformats.org/officeDocument/2006/relationships/ctrlProp" Target="../ctrlProps/ctrlProp207.xml"/><Relationship Id="rId154" Type="http://schemas.openxmlformats.org/officeDocument/2006/relationships/ctrlProp" Target="../ctrlProps/ctrlProp228.xml"/><Relationship Id="rId175" Type="http://schemas.openxmlformats.org/officeDocument/2006/relationships/ctrlProp" Target="../ctrlProps/ctrlProp249.xml"/><Relationship Id="rId196" Type="http://schemas.openxmlformats.org/officeDocument/2006/relationships/ctrlProp" Target="../ctrlProps/ctrlProp270.xml"/><Relationship Id="rId200" Type="http://schemas.openxmlformats.org/officeDocument/2006/relationships/ctrlProp" Target="../ctrlProps/ctrlProp274.xml"/><Relationship Id="rId16" Type="http://schemas.openxmlformats.org/officeDocument/2006/relationships/ctrlProp" Target="../ctrlProps/ctrlProp90.xml"/><Relationship Id="rId221" Type="http://schemas.openxmlformats.org/officeDocument/2006/relationships/ctrlProp" Target="../ctrlProps/ctrlProp295.xml"/><Relationship Id="rId242" Type="http://schemas.openxmlformats.org/officeDocument/2006/relationships/ctrlProp" Target="../ctrlProps/ctrlProp316.xml"/><Relationship Id="rId37" Type="http://schemas.openxmlformats.org/officeDocument/2006/relationships/ctrlProp" Target="../ctrlProps/ctrlProp111.xml"/><Relationship Id="rId58" Type="http://schemas.openxmlformats.org/officeDocument/2006/relationships/ctrlProp" Target="../ctrlProps/ctrlProp132.xml"/><Relationship Id="rId79" Type="http://schemas.openxmlformats.org/officeDocument/2006/relationships/ctrlProp" Target="../ctrlProps/ctrlProp153.xml"/><Relationship Id="rId102" Type="http://schemas.openxmlformats.org/officeDocument/2006/relationships/ctrlProp" Target="../ctrlProps/ctrlProp176.xml"/><Relationship Id="rId123" Type="http://schemas.openxmlformats.org/officeDocument/2006/relationships/ctrlProp" Target="../ctrlProps/ctrlProp197.xml"/><Relationship Id="rId144" Type="http://schemas.openxmlformats.org/officeDocument/2006/relationships/ctrlProp" Target="../ctrlProps/ctrlProp218.xml"/><Relationship Id="rId90" Type="http://schemas.openxmlformats.org/officeDocument/2006/relationships/ctrlProp" Target="../ctrlProps/ctrlProp164.xml"/><Relationship Id="rId165" Type="http://schemas.openxmlformats.org/officeDocument/2006/relationships/ctrlProp" Target="../ctrlProps/ctrlProp239.xml"/><Relationship Id="rId186" Type="http://schemas.openxmlformats.org/officeDocument/2006/relationships/ctrlProp" Target="../ctrlProps/ctrlProp260.xml"/><Relationship Id="rId211" Type="http://schemas.openxmlformats.org/officeDocument/2006/relationships/ctrlProp" Target="../ctrlProps/ctrlProp285.xml"/><Relationship Id="rId232" Type="http://schemas.openxmlformats.org/officeDocument/2006/relationships/ctrlProp" Target="../ctrlProps/ctrlProp306.xml"/><Relationship Id="rId27" Type="http://schemas.openxmlformats.org/officeDocument/2006/relationships/ctrlProp" Target="../ctrlProps/ctrlProp101.xml"/><Relationship Id="rId48" Type="http://schemas.openxmlformats.org/officeDocument/2006/relationships/ctrlProp" Target="../ctrlProps/ctrlProp122.xml"/><Relationship Id="rId69" Type="http://schemas.openxmlformats.org/officeDocument/2006/relationships/ctrlProp" Target="../ctrlProps/ctrlProp143.xml"/><Relationship Id="rId113" Type="http://schemas.openxmlformats.org/officeDocument/2006/relationships/ctrlProp" Target="../ctrlProps/ctrlProp187.xml"/><Relationship Id="rId134" Type="http://schemas.openxmlformats.org/officeDocument/2006/relationships/ctrlProp" Target="../ctrlProps/ctrlProp208.xml"/><Relationship Id="rId80" Type="http://schemas.openxmlformats.org/officeDocument/2006/relationships/ctrlProp" Target="../ctrlProps/ctrlProp154.xml"/><Relationship Id="rId155" Type="http://schemas.openxmlformats.org/officeDocument/2006/relationships/ctrlProp" Target="../ctrlProps/ctrlProp229.xml"/><Relationship Id="rId176" Type="http://schemas.openxmlformats.org/officeDocument/2006/relationships/ctrlProp" Target="../ctrlProps/ctrlProp250.xml"/><Relationship Id="rId197" Type="http://schemas.openxmlformats.org/officeDocument/2006/relationships/ctrlProp" Target="../ctrlProps/ctrlProp271.xml"/><Relationship Id="rId201" Type="http://schemas.openxmlformats.org/officeDocument/2006/relationships/ctrlProp" Target="../ctrlProps/ctrlProp275.xml"/><Relationship Id="rId222" Type="http://schemas.openxmlformats.org/officeDocument/2006/relationships/ctrlProp" Target="../ctrlProps/ctrlProp296.xml"/><Relationship Id="rId243" Type="http://schemas.openxmlformats.org/officeDocument/2006/relationships/ctrlProp" Target="../ctrlProps/ctrlProp317.xml"/><Relationship Id="rId17" Type="http://schemas.openxmlformats.org/officeDocument/2006/relationships/ctrlProp" Target="../ctrlProps/ctrlProp91.xml"/><Relationship Id="rId38" Type="http://schemas.openxmlformats.org/officeDocument/2006/relationships/ctrlProp" Target="../ctrlProps/ctrlProp112.xml"/><Relationship Id="rId59" Type="http://schemas.openxmlformats.org/officeDocument/2006/relationships/ctrlProp" Target="../ctrlProps/ctrlProp133.xml"/><Relationship Id="rId103" Type="http://schemas.openxmlformats.org/officeDocument/2006/relationships/ctrlProp" Target="../ctrlProps/ctrlProp177.xml"/><Relationship Id="rId124" Type="http://schemas.openxmlformats.org/officeDocument/2006/relationships/ctrlProp" Target="../ctrlProps/ctrlProp198.xml"/><Relationship Id="rId70" Type="http://schemas.openxmlformats.org/officeDocument/2006/relationships/ctrlProp" Target="../ctrlProps/ctrlProp144.xml"/><Relationship Id="rId91" Type="http://schemas.openxmlformats.org/officeDocument/2006/relationships/ctrlProp" Target="../ctrlProps/ctrlProp165.xml"/><Relationship Id="rId145" Type="http://schemas.openxmlformats.org/officeDocument/2006/relationships/ctrlProp" Target="../ctrlProps/ctrlProp219.xml"/><Relationship Id="rId166" Type="http://schemas.openxmlformats.org/officeDocument/2006/relationships/ctrlProp" Target="../ctrlProps/ctrlProp240.xml"/><Relationship Id="rId187" Type="http://schemas.openxmlformats.org/officeDocument/2006/relationships/ctrlProp" Target="../ctrlProps/ctrlProp261.xml"/><Relationship Id="rId1" Type="http://schemas.openxmlformats.org/officeDocument/2006/relationships/printerSettings" Target="../printerSettings/printerSettings15.bin"/><Relationship Id="rId212" Type="http://schemas.openxmlformats.org/officeDocument/2006/relationships/ctrlProp" Target="../ctrlProps/ctrlProp286.xml"/><Relationship Id="rId233" Type="http://schemas.openxmlformats.org/officeDocument/2006/relationships/ctrlProp" Target="../ctrlProps/ctrlProp307.xml"/><Relationship Id="rId28" Type="http://schemas.openxmlformats.org/officeDocument/2006/relationships/ctrlProp" Target="../ctrlProps/ctrlProp102.xml"/><Relationship Id="rId49" Type="http://schemas.openxmlformats.org/officeDocument/2006/relationships/ctrlProp" Target="../ctrlProps/ctrlProp123.xml"/><Relationship Id="rId114" Type="http://schemas.openxmlformats.org/officeDocument/2006/relationships/ctrlProp" Target="../ctrlProps/ctrlProp188.xml"/><Relationship Id="rId60" Type="http://schemas.openxmlformats.org/officeDocument/2006/relationships/ctrlProp" Target="../ctrlProps/ctrlProp134.xml"/><Relationship Id="rId81" Type="http://schemas.openxmlformats.org/officeDocument/2006/relationships/ctrlProp" Target="../ctrlProps/ctrlProp155.xml"/><Relationship Id="rId135" Type="http://schemas.openxmlformats.org/officeDocument/2006/relationships/ctrlProp" Target="../ctrlProps/ctrlProp209.xml"/><Relationship Id="rId156" Type="http://schemas.openxmlformats.org/officeDocument/2006/relationships/ctrlProp" Target="../ctrlProps/ctrlProp230.xml"/><Relationship Id="rId177" Type="http://schemas.openxmlformats.org/officeDocument/2006/relationships/ctrlProp" Target="../ctrlProps/ctrlProp251.xml"/><Relationship Id="rId198" Type="http://schemas.openxmlformats.org/officeDocument/2006/relationships/ctrlProp" Target="../ctrlProps/ctrlProp272.xml"/><Relationship Id="rId202" Type="http://schemas.openxmlformats.org/officeDocument/2006/relationships/ctrlProp" Target="../ctrlProps/ctrlProp276.xml"/><Relationship Id="rId223" Type="http://schemas.openxmlformats.org/officeDocument/2006/relationships/ctrlProp" Target="../ctrlProps/ctrlProp297.xml"/><Relationship Id="rId244" Type="http://schemas.openxmlformats.org/officeDocument/2006/relationships/ctrlProp" Target="../ctrlProps/ctrlProp318.xml"/><Relationship Id="rId18" Type="http://schemas.openxmlformats.org/officeDocument/2006/relationships/ctrlProp" Target="../ctrlProps/ctrlProp92.xml"/><Relationship Id="rId39" Type="http://schemas.openxmlformats.org/officeDocument/2006/relationships/ctrlProp" Target="../ctrlProps/ctrlProp113.xml"/><Relationship Id="rId50" Type="http://schemas.openxmlformats.org/officeDocument/2006/relationships/ctrlProp" Target="../ctrlProps/ctrlProp124.xml"/><Relationship Id="rId104" Type="http://schemas.openxmlformats.org/officeDocument/2006/relationships/ctrlProp" Target="../ctrlProps/ctrlProp178.xml"/><Relationship Id="rId125" Type="http://schemas.openxmlformats.org/officeDocument/2006/relationships/ctrlProp" Target="../ctrlProps/ctrlProp199.xml"/><Relationship Id="rId146" Type="http://schemas.openxmlformats.org/officeDocument/2006/relationships/ctrlProp" Target="../ctrlProps/ctrlProp220.xml"/><Relationship Id="rId167" Type="http://schemas.openxmlformats.org/officeDocument/2006/relationships/ctrlProp" Target="../ctrlProps/ctrlProp241.xml"/><Relationship Id="rId188" Type="http://schemas.openxmlformats.org/officeDocument/2006/relationships/ctrlProp" Target="../ctrlProps/ctrlProp262.xml"/><Relationship Id="rId71" Type="http://schemas.openxmlformats.org/officeDocument/2006/relationships/ctrlProp" Target="../ctrlProps/ctrlProp145.xml"/><Relationship Id="rId92" Type="http://schemas.openxmlformats.org/officeDocument/2006/relationships/ctrlProp" Target="../ctrlProps/ctrlProp166.xml"/><Relationship Id="rId213" Type="http://schemas.openxmlformats.org/officeDocument/2006/relationships/ctrlProp" Target="../ctrlProps/ctrlProp287.xml"/><Relationship Id="rId234" Type="http://schemas.openxmlformats.org/officeDocument/2006/relationships/ctrlProp" Target="../ctrlProps/ctrlProp308.xml"/><Relationship Id="rId2" Type="http://schemas.openxmlformats.org/officeDocument/2006/relationships/printerSettings" Target="../printerSettings/printerSettings16.bin"/><Relationship Id="rId29" Type="http://schemas.openxmlformats.org/officeDocument/2006/relationships/ctrlProp" Target="../ctrlProps/ctrlProp103.xml"/><Relationship Id="rId40" Type="http://schemas.openxmlformats.org/officeDocument/2006/relationships/ctrlProp" Target="../ctrlProps/ctrlProp114.xml"/><Relationship Id="rId115" Type="http://schemas.openxmlformats.org/officeDocument/2006/relationships/ctrlProp" Target="../ctrlProps/ctrlProp189.xml"/><Relationship Id="rId136" Type="http://schemas.openxmlformats.org/officeDocument/2006/relationships/ctrlProp" Target="../ctrlProps/ctrlProp210.xml"/><Relationship Id="rId157" Type="http://schemas.openxmlformats.org/officeDocument/2006/relationships/ctrlProp" Target="../ctrlProps/ctrlProp231.xml"/><Relationship Id="rId178" Type="http://schemas.openxmlformats.org/officeDocument/2006/relationships/ctrlProp" Target="../ctrlProps/ctrlProp252.xml"/><Relationship Id="rId61" Type="http://schemas.openxmlformats.org/officeDocument/2006/relationships/ctrlProp" Target="../ctrlProps/ctrlProp135.xml"/><Relationship Id="rId82" Type="http://schemas.openxmlformats.org/officeDocument/2006/relationships/ctrlProp" Target="../ctrlProps/ctrlProp156.xml"/><Relationship Id="rId199" Type="http://schemas.openxmlformats.org/officeDocument/2006/relationships/ctrlProp" Target="../ctrlProps/ctrlProp273.xml"/><Relationship Id="rId203" Type="http://schemas.openxmlformats.org/officeDocument/2006/relationships/ctrlProp" Target="../ctrlProps/ctrlProp277.xml"/><Relationship Id="rId19" Type="http://schemas.openxmlformats.org/officeDocument/2006/relationships/ctrlProp" Target="../ctrlProps/ctrlProp93.xml"/><Relationship Id="rId224" Type="http://schemas.openxmlformats.org/officeDocument/2006/relationships/ctrlProp" Target="../ctrlProps/ctrlProp298.xml"/><Relationship Id="rId245" Type="http://schemas.openxmlformats.org/officeDocument/2006/relationships/ctrlProp" Target="../ctrlProps/ctrlProp319.xml"/><Relationship Id="rId30" Type="http://schemas.openxmlformats.org/officeDocument/2006/relationships/ctrlProp" Target="../ctrlProps/ctrlProp104.xml"/><Relationship Id="rId105" Type="http://schemas.openxmlformats.org/officeDocument/2006/relationships/ctrlProp" Target="../ctrlProps/ctrlProp179.xml"/><Relationship Id="rId126" Type="http://schemas.openxmlformats.org/officeDocument/2006/relationships/ctrlProp" Target="../ctrlProps/ctrlProp200.xml"/><Relationship Id="rId147" Type="http://schemas.openxmlformats.org/officeDocument/2006/relationships/ctrlProp" Target="../ctrlProps/ctrlProp221.xml"/><Relationship Id="rId168" Type="http://schemas.openxmlformats.org/officeDocument/2006/relationships/ctrlProp" Target="../ctrlProps/ctrlProp242.xml"/><Relationship Id="rId51" Type="http://schemas.openxmlformats.org/officeDocument/2006/relationships/ctrlProp" Target="../ctrlProps/ctrlProp125.xml"/><Relationship Id="rId72" Type="http://schemas.openxmlformats.org/officeDocument/2006/relationships/ctrlProp" Target="../ctrlProps/ctrlProp146.xml"/><Relationship Id="rId93" Type="http://schemas.openxmlformats.org/officeDocument/2006/relationships/ctrlProp" Target="../ctrlProps/ctrlProp167.xml"/><Relationship Id="rId189" Type="http://schemas.openxmlformats.org/officeDocument/2006/relationships/ctrlProp" Target="../ctrlProps/ctrlProp263.xml"/><Relationship Id="rId3" Type="http://schemas.openxmlformats.org/officeDocument/2006/relationships/drawing" Target="../drawings/drawing2.xml"/><Relationship Id="rId214" Type="http://schemas.openxmlformats.org/officeDocument/2006/relationships/ctrlProp" Target="../ctrlProps/ctrlProp288.xml"/><Relationship Id="rId235" Type="http://schemas.openxmlformats.org/officeDocument/2006/relationships/ctrlProp" Target="../ctrlProps/ctrlProp309.xml"/><Relationship Id="rId116" Type="http://schemas.openxmlformats.org/officeDocument/2006/relationships/ctrlProp" Target="../ctrlProps/ctrlProp190.xml"/><Relationship Id="rId137" Type="http://schemas.openxmlformats.org/officeDocument/2006/relationships/ctrlProp" Target="../ctrlProps/ctrlProp211.xml"/><Relationship Id="rId158" Type="http://schemas.openxmlformats.org/officeDocument/2006/relationships/ctrlProp" Target="../ctrlProps/ctrlProp232.xml"/><Relationship Id="rId20" Type="http://schemas.openxmlformats.org/officeDocument/2006/relationships/ctrlProp" Target="../ctrlProps/ctrlProp94.xml"/><Relationship Id="rId41" Type="http://schemas.openxmlformats.org/officeDocument/2006/relationships/ctrlProp" Target="../ctrlProps/ctrlProp115.xml"/><Relationship Id="rId62" Type="http://schemas.openxmlformats.org/officeDocument/2006/relationships/ctrlProp" Target="../ctrlProps/ctrlProp136.xml"/><Relationship Id="rId83" Type="http://schemas.openxmlformats.org/officeDocument/2006/relationships/ctrlProp" Target="../ctrlProps/ctrlProp157.xml"/><Relationship Id="rId179" Type="http://schemas.openxmlformats.org/officeDocument/2006/relationships/ctrlProp" Target="../ctrlProps/ctrlProp253.xml"/><Relationship Id="rId190" Type="http://schemas.openxmlformats.org/officeDocument/2006/relationships/ctrlProp" Target="../ctrlProps/ctrlProp264.xml"/><Relationship Id="rId204" Type="http://schemas.openxmlformats.org/officeDocument/2006/relationships/ctrlProp" Target="../ctrlProps/ctrlProp278.xml"/><Relationship Id="rId225" Type="http://schemas.openxmlformats.org/officeDocument/2006/relationships/ctrlProp" Target="../ctrlProps/ctrlProp299.xml"/><Relationship Id="rId246" Type="http://schemas.openxmlformats.org/officeDocument/2006/relationships/ctrlProp" Target="../ctrlProps/ctrlProp320.xml"/><Relationship Id="rId106" Type="http://schemas.openxmlformats.org/officeDocument/2006/relationships/ctrlProp" Target="../ctrlProps/ctrlProp180.xml"/><Relationship Id="rId127" Type="http://schemas.openxmlformats.org/officeDocument/2006/relationships/ctrlProp" Target="../ctrlProps/ctrlProp20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4.xml"/><Relationship Id="rId13" Type="http://schemas.openxmlformats.org/officeDocument/2006/relationships/ctrlProp" Target="../ctrlProps/ctrlProp329.xml"/><Relationship Id="rId18" Type="http://schemas.openxmlformats.org/officeDocument/2006/relationships/ctrlProp" Target="../ctrlProps/ctrlProp33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23.xml"/><Relationship Id="rId12" Type="http://schemas.openxmlformats.org/officeDocument/2006/relationships/ctrlProp" Target="../ctrlProps/ctrlProp328.xml"/><Relationship Id="rId17" Type="http://schemas.openxmlformats.org/officeDocument/2006/relationships/ctrlProp" Target="../ctrlProps/ctrlProp333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3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22.xml"/><Relationship Id="rId11" Type="http://schemas.openxmlformats.org/officeDocument/2006/relationships/ctrlProp" Target="../ctrlProps/ctrlProp327.xml"/><Relationship Id="rId5" Type="http://schemas.openxmlformats.org/officeDocument/2006/relationships/ctrlProp" Target="../ctrlProps/ctrlProp321.xml"/><Relationship Id="rId15" Type="http://schemas.openxmlformats.org/officeDocument/2006/relationships/ctrlProp" Target="../ctrlProps/ctrlProp331.xml"/><Relationship Id="rId10" Type="http://schemas.openxmlformats.org/officeDocument/2006/relationships/ctrlProp" Target="../ctrlProps/ctrlProp326.xml"/><Relationship Id="rId19" Type="http://schemas.openxmlformats.org/officeDocument/2006/relationships/ctrlProp" Target="../ctrlProps/ctrlProp335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25.xml"/><Relationship Id="rId14" Type="http://schemas.openxmlformats.org/officeDocument/2006/relationships/ctrlProp" Target="../ctrlProps/ctrlProp33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44.xml"/><Relationship Id="rId18" Type="http://schemas.openxmlformats.org/officeDocument/2006/relationships/ctrlProp" Target="../ctrlProps/ctrlProp349.xml"/><Relationship Id="rId26" Type="http://schemas.openxmlformats.org/officeDocument/2006/relationships/ctrlProp" Target="../ctrlProps/ctrlProp357.xml"/><Relationship Id="rId39" Type="http://schemas.openxmlformats.org/officeDocument/2006/relationships/ctrlProp" Target="../ctrlProps/ctrlProp370.xml"/><Relationship Id="rId21" Type="http://schemas.openxmlformats.org/officeDocument/2006/relationships/ctrlProp" Target="../ctrlProps/ctrlProp352.xml"/><Relationship Id="rId34" Type="http://schemas.openxmlformats.org/officeDocument/2006/relationships/ctrlProp" Target="../ctrlProps/ctrlProp365.xml"/><Relationship Id="rId42" Type="http://schemas.openxmlformats.org/officeDocument/2006/relationships/ctrlProp" Target="../ctrlProps/ctrlProp373.xml"/><Relationship Id="rId7" Type="http://schemas.openxmlformats.org/officeDocument/2006/relationships/ctrlProp" Target="../ctrlProps/ctrlProp338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47.xml"/><Relationship Id="rId29" Type="http://schemas.openxmlformats.org/officeDocument/2006/relationships/ctrlProp" Target="../ctrlProps/ctrlProp360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37.xml"/><Relationship Id="rId11" Type="http://schemas.openxmlformats.org/officeDocument/2006/relationships/ctrlProp" Target="../ctrlProps/ctrlProp342.xml"/><Relationship Id="rId24" Type="http://schemas.openxmlformats.org/officeDocument/2006/relationships/ctrlProp" Target="../ctrlProps/ctrlProp355.xml"/><Relationship Id="rId32" Type="http://schemas.openxmlformats.org/officeDocument/2006/relationships/ctrlProp" Target="../ctrlProps/ctrlProp363.xml"/><Relationship Id="rId37" Type="http://schemas.openxmlformats.org/officeDocument/2006/relationships/ctrlProp" Target="../ctrlProps/ctrlProp368.xml"/><Relationship Id="rId40" Type="http://schemas.openxmlformats.org/officeDocument/2006/relationships/ctrlProp" Target="../ctrlProps/ctrlProp371.xml"/><Relationship Id="rId45" Type="http://schemas.openxmlformats.org/officeDocument/2006/relationships/ctrlProp" Target="../ctrlProps/ctrlProp376.xml"/><Relationship Id="rId5" Type="http://schemas.openxmlformats.org/officeDocument/2006/relationships/ctrlProp" Target="../ctrlProps/ctrlProp336.xml"/><Relationship Id="rId15" Type="http://schemas.openxmlformats.org/officeDocument/2006/relationships/ctrlProp" Target="../ctrlProps/ctrlProp346.xml"/><Relationship Id="rId23" Type="http://schemas.openxmlformats.org/officeDocument/2006/relationships/ctrlProp" Target="../ctrlProps/ctrlProp354.xml"/><Relationship Id="rId28" Type="http://schemas.openxmlformats.org/officeDocument/2006/relationships/ctrlProp" Target="../ctrlProps/ctrlProp359.xml"/><Relationship Id="rId36" Type="http://schemas.openxmlformats.org/officeDocument/2006/relationships/ctrlProp" Target="../ctrlProps/ctrlProp367.xml"/><Relationship Id="rId10" Type="http://schemas.openxmlformats.org/officeDocument/2006/relationships/ctrlProp" Target="../ctrlProps/ctrlProp341.xml"/><Relationship Id="rId19" Type="http://schemas.openxmlformats.org/officeDocument/2006/relationships/ctrlProp" Target="../ctrlProps/ctrlProp350.xml"/><Relationship Id="rId31" Type="http://schemas.openxmlformats.org/officeDocument/2006/relationships/ctrlProp" Target="../ctrlProps/ctrlProp362.xml"/><Relationship Id="rId44" Type="http://schemas.openxmlformats.org/officeDocument/2006/relationships/ctrlProp" Target="../ctrlProps/ctrlProp37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40.xml"/><Relationship Id="rId14" Type="http://schemas.openxmlformats.org/officeDocument/2006/relationships/ctrlProp" Target="../ctrlProps/ctrlProp345.xml"/><Relationship Id="rId22" Type="http://schemas.openxmlformats.org/officeDocument/2006/relationships/ctrlProp" Target="../ctrlProps/ctrlProp353.xml"/><Relationship Id="rId27" Type="http://schemas.openxmlformats.org/officeDocument/2006/relationships/ctrlProp" Target="../ctrlProps/ctrlProp358.xml"/><Relationship Id="rId30" Type="http://schemas.openxmlformats.org/officeDocument/2006/relationships/ctrlProp" Target="../ctrlProps/ctrlProp361.xml"/><Relationship Id="rId35" Type="http://schemas.openxmlformats.org/officeDocument/2006/relationships/ctrlProp" Target="../ctrlProps/ctrlProp366.xml"/><Relationship Id="rId43" Type="http://schemas.openxmlformats.org/officeDocument/2006/relationships/ctrlProp" Target="../ctrlProps/ctrlProp374.xml"/><Relationship Id="rId8" Type="http://schemas.openxmlformats.org/officeDocument/2006/relationships/ctrlProp" Target="../ctrlProps/ctrlProp339.xml"/><Relationship Id="rId3" Type="http://schemas.openxmlformats.org/officeDocument/2006/relationships/drawing" Target="../drawings/drawing4.xml"/><Relationship Id="rId12" Type="http://schemas.openxmlformats.org/officeDocument/2006/relationships/ctrlProp" Target="../ctrlProps/ctrlProp343.xml"/><Relationship Id="rId17" Type="http://schemas.openxmlformats.org/officeDocument/2006/relationships/ctrlProp" Target="../ctrlProps/ctrlProp348.xml"/><Relationship Id="rId25" Type="http://schemas.openxmlformats.org/officeDocument/2006/relationships/ctrlProp" Target="../ctrlProps/ctrlProp356.xml"/><Relationship Id="rId33" Type="http://schemas.openxmlformats.org/officeDocument/2006/relationships/ctrlProp" Target="../ctrlProps/ctrlProp364.xml"/><Relationship Id="rId38" Type="http://schemas.openxmlformats.org/officeDocument/2006/relationships/ctrlProp" Target="../ctrlProps/ctrlProp369.xml"/><Relationship Id="rId20" Type="http://schemas.openxmlformats.org/officeDocument/2006/relationships/ctrlProp" Target="../ctrlProps/ctrlProp351.xml"/><Relationship Id="rId41" Type="http://schemas.openxmlformats.org/officeDocument/2006/relationships/ctrlProp" Target="../ctrlProps/ctrlProp37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0.xml"/><Relationship Id="rId21" Type="http://schemas.openxmlformats.org/officeDocument/2006/relationships/ctrlProp" Target="../ctrlProps/ctrlProp394.xml"/><Relationship Id="rId42" Type="http://schemas.openxmlformats.org/officeDocument/2006/relationships/ctrlProp" Target="../ctrlProps/ctrlProp415.xml"/><Relationship Id="rId63" Type="http://schemas.openxmlformats.org/officeDocument/2006/relationships/ctrlProp" Target="../ctrlProps/ctrlProp436.xml"/><Relationship Id="rId84" Type="http://schemas.openxmlformats.org/officeDocument/2006/relationships/ctrlProp" Target="../ctrlProps/ctrlProp457.xml"/><Relationship Id="rId138" Type="http://schemas.openxmlformats.org/officeDocument/2006/relationships/ctrlProp" Target="../ctrlProps/ctrlProp511.xml"/><Relationship Id="rId159" Type="http://schemas.openxmlformats.org/officeDocument/2006/relationships/ctrlProp" Target="../ctrlProps/ctrlProp532.xml"/><Relationship Id="rId107" Type="http://schemas.openxmlformats.org/officeDocument/2006/relationships/ctrlProp" Target="../ctrlProps/ctrlProp480.xml"/><Relationship Id="rId11" Type="http://schemas.openxmlformats.org/officeDocument/2006/relationships/ctrlProp" Target="../ctrlProps/ctrlProp384.xml"/><Relationship Id="rId32" Type="http://schemas.openxmlformats.org/officeDocument/2006/relationships/ctrlProp" Target="../ctrlProps/ctrlProp405.xml"/><Relationship Id="rId53" Type="http://schemas.openxmlformats.org/officeDocument/2006/relationships/ctrlProp" Target="../ctrlProps/ctrlProp426.xml"/><Relationship Id="rId74" Type="http://schemas.openxmlformats.org/officeDocument/2006/relationships/ctrlProp" Target="../ctrlProps/ctrlProp447.xml"/><Relationship Id="rId128" Type="http://schemas.openxmlformats.org/officeDocument/2006/relationships/ctrlProp" Target="../ctrlProps/ctrlProp501.xml"/><Relationship Id="rId149" Type="http://schemas.openxmlformats.org/officeDocument/2006/relationships/ctrlProp" Target="../ctrlProps/ctrlProp522.xml"/><Relationship Id="rId5" Type="http://schemas.openxmlformats.org/officeDocument/2006/relationships/ctrlProp" Target="../ctrlProps/ctrlProp378.xml"/><Relationship Id="rId95" Type="http://schemas.openxmlformats.org/officeDocument/2006/relationships/ctrlProp" Target="../ctrlProps/ctrlProp468.xml"/><Relationship Id="rId160" Type="http://schemas.openxmlformats.org/officeDocument/2006/relationships/ctrlProp" Target="../ctrlProps/ctrlProp533.xml"/><Relationship Id="rId22" Type="http://schemas.openxmlformats.org/officeDocument/2006/relationships/ctrlProp" Target="../ctrlProps/ctrlProp395.xml"/><Relationship Id="rId43" Type="http://schemas.openxmlformats.org/officeDocument/2006/relationships/ctrlProp" Target="../ctrlProps/ctrlProp416.xml"/><Relationship Id="rId64" Type="http://schemas.openxmlformats.org/officeDocument/2006/relationships/ctrlProp" Target="../ctrlProps/ctrlProp437.xml"/><Relationship Id="rId118" Type="http://schemas.openxmlformats.org/officeDocument/2006/relationships/ctrlProp" Target="../ctrlProps/ctrlProp491.xml"/><Relationship Id="rId139" Type="http://schemas.openxmlformats.org/officeDocument/2006/relationships/ctrlProp" Target="../ctrlProps/ctrlProp512.xml"/><Relationship Id="rId80" Type="http://schemas.openxmlformats.org/officeDocument/2006/relationships/ctrlProp" Target="../ctrlProps/ctrlProp453.xml"/><Relationship Id="rId85" Type="http://schemas.openxmlformats.org/officeDocument/2006/relationships/ctrlProp" Target="../ctrlProps/ctrlProp458.xml"/><Relationship Id="rId150" Type="http://schemas.openxmlformats.org/officeDocument/2006/relationships/ctrlProp" Target="../ctrlProps/ctrlProp523.xml"/><Relationship Id="rId155" Type="http://schemas.openxmlformats.org/officeDocument/2006/relationships/ctrlProp" Target="../ctrlProps/ctrlProp528.xml"/><Relationship Id="rId12" Type="http://schemas.openxmlformats.org/officeDocument/2006/relationships/ctrlProp" Target="../ctrlProps/ctrlProp385.xml"/><Relationship Id="rId17" Type="http://schemas.openxmlformats.org/officeDocument/2006/relationships/ctrlProp" Target="../ctrlProps/ctrlProp390.xml"/><Relationship Id="rId33" Type="http://schemas.openxmlformats.org/officeDocument/2006/relationships/ctrlProp" Target="../ctrlProps/ctrlProp406.xml"/><Relationship Id="rId38" Type="http://schemas.openxmlformats.org/officeDocument/2006/relationships/ctrlProp" Target="../ctrlProps/ctrlProp411.xml"/><Relationship Id="rId59" Type="http://schemas.openxmlformats.org/officeDocument/2006/relationships/ctrlProp" Target="../ctrlProps/ctrlProp432.xml"/><Relationship Id="rId103" Type="http://schemas.openxmlformats.org/officeDocument/2006/relationships/ctrlProp" Target="../ctrlProps/ctrlProp476.xml"/><Relationship Id="rId108" Type="http://schemas.openxmlformats.org/officeDocument/2006/relationships/ctrlProp" Target="../ctrlProps/ctrlProp481.xml"/><Relationship Id="rId124" Type="http://schemas.openxmlformats.org/officeDocument/2006/relationships/ctrlProp" Target="../ctrlProps/ctrlProp497.xml"/><Relationship Id="rId129" Type="http://schemas.openxmlformats.org/officeDocument/2006/relationships/ctrlProp" Target="../ctrlProps/ctrlProp502.xml"/><Relationship Id="rId54" Type="http://schemas.openxmlformats.org/officeDocument/2006/relationships/ctrlProp" Target="../ctrlProps/ctrlProp427.xml"/><Relationship Id="rId70" Type="http://schemas.openxmlformats.org/officeDocument/2006/relationships/ctrlProp" Target="../ctrlProps/ctrlProp443.xml"/><Relationship Id="rId75" Type="http://schemas.openxmlformats.org/officeDocument/2006/relationships/ctrlProp" Target="../ctrlProps/ctrlProp448.xml"/><Relationship Id="rId91" Type="http://schemas.openxmlformats.org/officeDocument/2006/relationships/ctrlProp" Target="../ctrlProps/ctrlProp464.xml"/><Relationship Id="rId96" Type="http://schemas.openxmlformats.org/officeDocument/2006/relationships/ctrlProp" Target="../ctrlProps/ctrlProp469.xml"/><Relationship Id="rId140" Type="http://schemas.openxmlformats.org/officeDocument/2006/relationships/ctrlProp" Target="../ctrlProps/ctrlProp513.xml"/><Relationship Id="rId145" Type="http://schemas.openxmlformats.org/officeDocument/2006/relationships/ctrlProp" Target="../ctrlProps/ctrlProp518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79.xml"/><Relationship Id="rId23" Type="http://schemas.openxmlformats.org/officeDocument/2006/relationships/ctrlProp" Target="../ctrlProps/ctrlProp396.xml"/><Relationship Id="rId28" Type="http://schemas.openxmlformats.org/officeDocument/2006/relationships/ctrlProp" Target="../ctrlProps/ctrlProp401.xml"/><Relationship Id="rId49" Type="http://schemas.openxmlformats.org/officeDocument/2006/relationships/ctrlProp" Target="../ctrlProps/ctrlProp422.xml"/><Relationship Id="rId114" Type="http://schemas.openxmlformats.org/officeDocument/2006/relationships/ctrlProp" Target="../ctrlProps/ctrlProp487.xml"/><Relationship Id="rId119" Type="http://schemas.openxmlformats.org/officeDocument/2006/relationships/ctrlProp" Target="../ctrlProps/ctrlProp492.xml"/><Relationship Id="rId44" Type="http://schemas.openxmlformats.org/officeDocument/2006/relationships/ctrlProp" Target="../ctrlProps/ctrlProp417.xml"/><Relationship Id="rId60" Type="http://schemas.openxmlformats.org/officeDocument/2006/relationships/ctrlProp" Target="../ctrlProps/ctrlProp433.xml"/><Relationship Id="rId65" Type="http://schemas.openxmlformats.org/officeDocument/2006/relationships/ctrlProp" Target="../ctrlProps/ctrlProp438.xml"/><Relationship Id="rId81" Type="http://schemas.openxmlformats.org/officeDocument/2006/relationships/ctrlProp" Target="../ctrlProps/ctrlProp454.xml"/><Relationship Id="rId86" Type="http://schemas.openxmlformats.org/officeDocument/2006/relationships/ctrlProp" Target="../ctrlProps/ctrlProp459.xml"/><Relationship Id="rId130" Type="http://schemas.openxmlformats.org/officeDocument/2006/relationships/ctrlProp" Target="../ctrlProps/ctrlProp503.xml"/><Relationship Id="rId135" Type="http://schemas.openxmlformats.org/officeDocument/2006/relationships/ctrlProp" Target="../ctrlProps/ctrlProp508.xml"/><Relationship Id="rId151" Type="http://schemas.openxmlformats.org/officeDocument/2006/relationships/ctrlProp" Target="../ctrlProps/ctrlProp524.xml"/><Relationship Id="rId156" Type="http://schemas.openxmlformats.org/officeDocument/2006/relationships/ctrlProp" Target="../ctrlProps/ctrlProp529.xml"/><Relationship Id="rId13" Type="http://schemas.openxmlformats.org/officeDocument/2006/relationships/ctrlProp" Target="../ctrlProps/ctrlProp386.xml"/><Relationship Id="rId18" Type="http://schemas.openxmlformats.org/officeDocument/2006/relationships/ctrlProp" Target="../ctrlProps/ctrlProp391.xml"/><Relationship Id="rId39" Type="http://schemas.openxmlformats.org/officeDocument/2006/relationships/ctrlProp" Target="../ctrlProps/ctrlProp412.xml"/><Relationship Id="rId109" Type="http://schemas.openxmlformats.org/officeDocument/2006/relationships/ctrlProp" Target="../ctrlProps/ctrlProp482.xml"/><Relationship Id="rId34" Type="http://schemas.openxmlformats.org/officeDocument/2006/relationships/ctrlProp" Target="../ctrlProps/ctrlProp407.xml"/><Relationship Id="rId50" Type="http://schemas.openxmlformats.org/officeDocument/2006/relationships/ctrlProp" Target="../ctrlProps/ctrlProp423.xml"/><Relationship Id="rId55" Type="http://schemas.openxmlformats.org/officeDocument/2006/relationships/ctrlProp" Target="../ctrlProps/ctrlProp428.xml"/><Relationship Id="rId76" Type="http://schemas.openxmlformats.org/officeDocument/2006/relationships/ctrlProp" Target="../ctrlProps/ctrlProp449.xml"/><Relationship Id="rId97" Type="http://schemas.openxmlformats.org/officeDocument/2006/relationships/ctrlProp" Target="../ctrlProps/ctrlProp470.xml"/><Relationship Id="rId104" Type="http://schemas.openxmlformats.org/officeDocument/2006/relationships/ctrlProp" Target="../ctrlProps/ctrlProp477.xml"/><Relationship Id="rId120" Type="http://schemas.openxmlformats.org/officeDocument/2006/relationships/ctrlProp" Target="../ctrlProps/ctrlProp493.xml"/><Relationship Id="rId125" Type="http://schemas.openxmlformats.org/officeDocument/2006/relationships/ctrlProp" Target="../ctrlProps/ctrlProp498.xml"/><Relationship Id="rId141" Type="http://schemas.openxmlformats.org/officeDocument/2006/relationships/ctrlProp" Target="../ctrlProps/ctrlProp514.xml"/><Relationship Id="rId146" Type="http://schemas.openxmlformats.org/officeDocument/2006/relationships/ctrlProp" Target="../ctrlProps/ctrlProp519.xml"/><Relationship Id="rId7" Type="http://schemas.openxmlformats.org/officeDocument/2006/relationships/ctrlProp" Target="../ctrlProps/ctrlProp380.xml"/><Relationship Id="rId71" Type="http://schemas.openxmlformats.org/officeDocument/2006/relationships/ctrlProp" Target="../ctrlProps/ctrlProp444.xml"/><Relationship Id="rId92" Type="http://schemas.openxmlformats.org/officeDocument/2006/relationships/ctrlProp" Target="../ctrlProps/ctrlProp465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02.xml"/><Relationship Id="rId24" Type="http://schemas.openxmlformats.org/officeDocument/2006/relationships/ctrlProp" Target="../ctrlProps/ctrlProp397.xml"/><Relationship Id="rId40" Type="http://schemas.openxmlformats.org/officeDocument/2006/relationships/ctrlProp" Target="../ctrlProps/ctrlProp413.xml"/><Relationship Id="rId45" Type="http://schemas.openxmlformats.org/officeDocument/2006/relationships/ctrlProp" Target="../ctrlProps/ctrlProp418.xml"/><Relationship Id="rId66" Type="http://schemas.openxmlformats.org/officeDocument/2006/relationships/ctrlProp" Target="../ctrlProps/ctrlProp439.xml"/><Relationship Id="rId87" Type="http://schemas.openxmlformats.org/officeDocument/2006/relationships/ctrlProp" Target="../ctrlProps/ctrlProp460.xml"/><Relationship Id="rId110" Type="http://schemas.openxmlformats.org/officeDocument/2006/relationships/ctrlProp" Target="../ctrlProps/ctrlProp483.xml"/><Relationship Id="rId115" Type="http://schemas.openxmlformats.org/officeDocument/2006/relationships/ctrlProp" Target="../ctrlProps/ctrlProp488.xml"/><Relationship Id="rId131" Type="http://schemas.openxmlformats.org/officeDocument/2006/relationships/ctrlProp" Target="../ctrlProps/ctrlProp504.xml"/><Relationship Id="rId136" Type="http://schemas.openxmlformats.org/officeDocument/2006/relationships/ctrlProp" Target="../ctrlProps/ctrlProp509.xml"/><Relationship Id="rId157" Type="http://schemas.openxmlformats.org/officeDocument/2006/relationships/ctrlProp" Target="../ctrlProps/ctrlProp530.xml"/><Relationship Id="rId61" Type="http://schemas.openxmlformats.org/officeDocument/2006/relationships/ctrlProp" Target="../ctrlProps/ctrlProp434.xml"/><Relationship Id="rId82" Type="http://schemas.openxmlformats.org/officeDocument/2006/relationships/ctrlProp" Target="../ctrlProps/ctrlProp455.xml"/><Relationship Id="rId152" Type="http://schemas.openxmlformats.org/officeDocument/2006/relationships/ctrlProp" Target="../ctrlProps/ctrlProp525.xml"/><Relationship Id="rId19" Type="http://schemas.openxmlformats.org/officeDocument/2006/relationships/ctrlProp" Target="../ctrlProps/ctrlProp392.xml"/><Relationship Id="rId14" Type="http://schemas.openxmlformats.org/officeDocument/2006/relationships/ctrlProp" Target="../ctrlProps/ctrlProp387.xml"/><Relationship Id="rId30" Type="http://schemas.openxmlformats.org/officeDocument/2006/relationships/ctrlProp" Target="../ctrlProps/ctrlProp403.xml"/><Relationship Id="rId35" Type="http://schemas.openxmlformats.org/officeDocument/2006/relationships/ctrlProp" Target="../ctrlProps/ctrlProp408.xml"/><Relationship Id="rId56" Type="http://schemas.openxmlformats.org/officeDocument/2006/relationships/ctrlProp" Target="../ctrlProps/ctrlProp429.xml"/><Relationship Id="rId77" Type="http://schemas.openxmlformats.org/officeDocument/2006/relationships/ctrlProp" Target="../ctrlProps/ctrlProp450.xml"/><Relationship Id="rId100" Type="http://schemas.openxmlformats.org/officeDocument/2006/relationships/ctrlProp" Target="../ctrlProps/ctrlProp473.xml"/><Relationship Id="rId105" Type="http://schemas.openxmlformats.org/officeDocument/2006/relationships/ctrlProp" Target="../ctrlProps/ctrlProp478.xml"/><Relationship Id="rId126" Type="http://schemas.openxmlformats.org/officeDocument/2006/relationships/ctrlProp" Target="../ctrlProps/ctrlProp499.xml"/><Relationship Id="rId147" Type="http://schemas.openxmlformats.org/officeDocument/2006/relationships/ctrlProp" Target="../ctrlProps/ctrlProp520.xml"/><Relationship Id="rId8" Type="http://schemas.openxmlformats.org/officeDocument/2006/relationships/ctrlProp" Target="../ctrlProps/ctrlProp381.xml"/><Relationship Id="rId51" Type="http://schemas.openxmlformats.org/officeDocument/2006/relationships/ctrlProp" Target="../ctrlProps/ctrlProp424.xml"/><Relationship Id="rId72" Type="http://schemas.openxmlformats.org/officeDocument/2006/relationships/ctrlProp" Target="../ctrlProps/ctrlProp445.xml"/><Relationship Id="rId93" Type="http://schemas.openxmlformats.org/officeDocument/2006/relationships/ctrlProp" Target="../ctrlProps/ctrlProp466.xml"/><Relationship Id="rId98" Type="http://schemas.openxmlformats.org/officeDocument/2006/relationships/ctrlProp" Target="../ctrlProps/ctrlProp471.xml"/><Relationship Id="rId121" Type="http://schemas.openxmlformats.org/officeDocument/2006/relationships/ctrlProp" Target="../ctrlProps/ctrlProp494.xml"/><Relationship Id="rId142" Type="http://schemas.openxmlformats.org/officeDocument/2006/relationships/ctrlProp" Target="../ctrlProps/ctrlProp51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98.xml"/><Relationship Id="rId46" Type="http://schemas.openxmlformats.org/officeDocument/2006/relationships/ctrlProp" Target="../ctrlProps/ctrlProp419.xml"/><Relationship Id="rId67" Type="http://schemas.openxmlformats.org/officeDocument/2006/relationships/ctrlProp" Target="../ctrlProps/ctrlProp440.xml"/><Relationship Id="rId116" Type="http://schemas.openxmlformats.org/officeDocument/2006/relationships/ctrlProp" Target="../ctrlProps/ctrlProp489.xml"/><Relationship Id="rId137" Type="http://schemas.openxmlformats.org/officeDocument/2006/relationships/ctrlProp" Target="../ctrlProps/ctrlProp510.xml"/><Relationship Id="rId158" Type="http://schemas.openxmlformats.org/officeDocument/2006/relationships/ctrlProp" Target="../ctrlProps/ctrlProp531.xml"/><Relationship Id="rId20" Type="http://schemas.openxmlformats.org/officeDocument/2006/relationships/ctrlProp" Target="../ctrlProps/ctrlProp393.xml"/><Relationship Id="rId41" Type="http://schemas.openxmlformats.org/officeDocument/2006/relationships/ctrlProp" Target="../ctrlProps/ctrlProp414.xml"/><Relationship Id="rId62" Type="http://schemas.openxmlformats.org/officeDocument/2006/relationships/ctrlProp" Target="../ctrlProps/ctrlProp435.xml"/><Relationship Id="rId83" Type="http://schemas.openxmlformats.org/officeDocument/2006/relationships/ctrlProp" Target="../ctrlProps/ctrlProp456.xml"/><Relationship Id="rId88" Type="http://schemas.openxmlformats.org/officeDocument/2006/relationships/ctrlProp" Target="../ctrlProps/ctrlProp461.xml"/><Relationship Id="rId111" Type="http://schemas.openxmlformats.org/officeDocument/2006/relationships/ctrlProp" Target="../ctrlProps/ctrlProp484.xml"/><Relationship Id="rId132" Type="http://schemas.openxmlformats.org/officeDocument/2006/relationships/ctrlProp" Target="../ctrlProps/ctrlProp505.xml"/><Relationship Id="rId153" Type="http://schemas.openxmlformats.org/officeDocument/2006/relationships/ctrlProp" Target="../ctrlProps/ctrlProp526.xml"/><Relationship Id="rId15" Type="http://schemas.openxmlformats.org/officeDocument/2006/relationships/ctrlProp" Target="../ctrlProps/ctrlProp388.xml"/><Relationship Id="rId36" Type="http://schemas.openxmlformats.org/officeDocument/2006/relationships/ctrlProp" Target="../ctrlProps/ctrlProp409.xml"/><Relationship Id="rId57" Type="http://schemas.openxmlformats.org/officeDocument/2006/relationships/ctrlProp" Target="../ctrlProps/ctrlProp430.xml"/><Relationship Id="rId106" Type="http://schemas.openxmlformats.org/officeDocument/2006/relationships/ctrlProp" Target="../ctrlProps/ctrlProp479.xml"/><Relationship Id="rId127" Type="http://schemas.openxmlformats.org/officeDocument/2006/relationships/ctrlProp" Target="../ctrlProps/ctrlProp500.xml"/><Relationship Id="rId10" Type="http://schemas.openxmlformats.org/officeDocument/2006/relationships/ctrlProp" Target="../ctrlProps/ctrlProp383.xml"/><Relationship Id="rId31" Type="http://schemas.openxmlformats.org/officeDocument/2006/relationships/ctrlProp" Target="../ctrlProps/ctrlProp404.xml"/><Relationship Id="rId52" Type="http://schemas.openxmlformats.org/officeDocument/2006/relationships/ctrlProp" Target="../ctrlProps/ctrlProp425.xml"/><Relationship Id="rId73" Type="http://schemas.openxmlformats.org/officeDocument/2006/relationships/ctrlProp" Target="../ctrlProps/ctrlProp446.xml"/><Relationship Id="rId78" Type="http://schemas.openxmlformats.org/officeDocument/2006/relationships/ctrlProp" Target="../ctrlProps/ctrlProp451.xml"/><Relationship Id="rId94" Type="http://schemas.openxmlformats.org/officeDocument/2006/relationships/ctrlProp" Target="../ctrlProps/ctrlProp467.xml"/><Relationship Id="rId99" Type="http://schemas.openxmlformats.org/officeDocument/2006/relationships/ctrlProp" Target="../ctrlProps/ctrlProp472.xml"/><Relationship Id="rId101" Type="http://schemas.openxmlformats.org/officeDocument/2006/relationships/ctrlProp" Target="../ctrlProps/ctrlProp474.xml"/><Relationship Id="rId122" Type="http://schemas.openxmlformats.org/officeDocument/2006/relationships/ctrlProp" Target="../ctrlProps/ctrlProp495.xml"/><Relationship Id="rId143" Type="http://schemas.openxmlformats.org/officeDocument/2006/relationships/ctrlProp" Target="../ctrlProps/ctrlProp516.xml"/><Relationship Id="rId148" Type="http://schemas.openxmlformats.org/officeDocument/2006/relationships/ctrlProp" Target="../ctrlProps/ctrlProp521.xml"/><Relationship Id="rId4" Type="http://schemas.openxmlformats.org/officeDocument/2006/relationships/ctrlProp" Target="../ctrlProps/ctrlProp377.xml"/><Relationship Id="rId9" Type="http://schemas.openxmlformats.org/officeDocument/2006/relationships/ctrlProp" Target="../ctrlProps/ctrlProp382.xml"/><Relationship Id="rId26" Type="http://schemas.openxmlformats.org/officeDocument/2006/relationships/ctrlProp" Target="../ctrlProps/ctrlProp399.xml"/><Relationship Id="rId47" Type="http://schemas.openxmlformats.org/officeDocument/2006/relationships/ctrlProp" Target="../ctrlProps/ctrlProp420.xml"/><Relationship Id="rId68" Type="http://schemas.openxmlformats.org/officeDocument/2006/relationships/ctrlProp" Target="../ctrlProps/ctrlProp441.xml"/><Relationship Id="rId89" Type="http://schemas.openxmlformats.org/officeDocument/2006/relationships/ctrlProp" Target="../ctrlProps/ctrlProp462.xml"/><Relationship Id="rId112" Type="http://schemas.openxmlformats.org/officeDocument/2006/relationships/ctrlProp" Target="../ctrlProps/ctrlProp485.xml"/><Relationship Id="rId133" Type="http://schemas.openxmlformats.org/officeDocument/2006/relationships/ctrlProp" Target="../ctrlProps/ctrlProp506.xml"/><Relationship Id="rId154" Type="http://schemas.openxmlformats.org/officeDocument/2006/relationships/ctrlProp" Target="../ctrlProps/ctrlProp527.xml"/><Relationship Id="rId16" Type="http://schemas.openxmlformats.org/officeDocument/2006/relationships/ctrlProp" Target="../ctrlProps/ctrlProp389.xml"/><Relationship Id="rId37" Type="http://schemas.openxmlformats.org/officeDocument/2006/relationships/ctrlProp" Target="../ctrlProps/ctrlProp410.xml"/><Relationship Id="rId58" Type="http://schemas.openxmlformats.org/officeDocument/2006/relationships/ctrlProp" Target="../ctrlProps/ctrlProp431.xml"/><Relationship Id="rId79" Type="http://schemas.openxmlformats.org/officeDocument/2006/relationships/ctrlProp" Target="../ctrlProps/ctrlProp452.xml"/><Relationship Id="rId102" Type="http://schemas.openxmlformats.org/officeDocument/2006/relationships/ctrlProp" Target="../ctrlProps/ctrlProp475.xml"/><Relationship Id="rId123" Type="http://schemas.openxmlformats.org/officeDocument/2006/relationships/ctrlProp" Target="../ctrlProps/ctrlProp496.xml"/><Relationship Id="rId144" Type="http://schemas.openxmlformats.org/officeDocument/2006/relationships/ctrlProp" Target="../ctrlProps/ctrlProp517.xml"/><Relationship Id="rId90" Type="http://schemas.openxmlformats.org/officeDocument/2006/relationships/ctrlProp" Target="../ctrlProps/ctrlProp463.xml"/><Relationship Id="rId27" Type="http://schemas.openxmlformats.org/officeDocument/2006/relationships/ctrlProp" Target="../ctrlProps/ctrlProp400.xml"/><Relationship Id="rId48" Type="http://schemas.openxmlformats.org/officeDocument/2006/relationships/ctrlProp" Target="../ctrlProps/ctrlProp421.xml"/><Relationship Id="rId69" Type="http://schemas.openxmlformats.org/officeDocument/2006/relationships/ctrlProp" Target="../ctrlProps/ctrlProp442.xml"/><Relationship Id="rId113" Type="http://schemas.openxmlformats.org/officeDocument/2006/relationships/ctrlProp" Target="../ctrlProps/ctrlProp486.xml"/><Relationship Id="rId134" Type="http://schemas.openxmlformats.org/officeDocument/2006/relationships/ctrlProp" Target="../ctrlProps/ctrlProp507.xml"/></Relationships>
</file>

<file path=xl/worksheets/_rels/sheet2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56.xml"/><Relationship Id="rId21" Type="http://schemas.openxmlformats.org/officeDocument/2006/relationships/ctrlProp" Target="../ctrlProps/ctrlProp551.xml"/><Relationship Id="rId42" Type="http://schemas.openxmlformats.org/officeDocument/2006/relationships/ctrlProp" Target="../ctrlProps/ctrlProp572.xml"/><Relationship Id="rId47" Type="http://schemas.openxmlformats.org/officeDocument/2006/relationships/ctrlProp" Target="../ctrlProps/ctrlProp577.xml"/><Relationship Id="rId63" Type="http://schemas.openxmlformats.org/officeDocument/2006/relationships/ctrlProp" Target="../ctrlProps/ctrlProp593.xml"/><Relationship Id="rId68" Type="http://schemas.openxmlformats.org/officeDocument/2006/relationships/ctrlProp" Target="../ctrlProps/ctrlProp598.xml"/><Relationship Id="rId7" Type="http://schemas.openxmlformats.org/officeDocument/2006/relationships/ctrlProp" Target="../ctrlProps/ctrlProp53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46.xml"/><Relationship Id="rId29" Type="http://schemas.openxmlformats.org/officeDocument/2006/relationships/ctrlProp" Target="../ctrlProps/ctrlProp559.xml"/><Relationship Id="rId11" Type="http://schemas.openxmlformats.org/officeDocument/2006/relationships/ctrlProp" Target="../ctrlProps/ctrlProp541.xml"/><Relationship Id="rId24" Type="http://schemas.openxmlformats.org/officeDocument/2006/relationships/ctrlProp" Target="../ctrlProps/ctrlProp554.xml"/><Relationship Id="rId32" Type="http://schemas.openxmlformats.org/officeDocument/2006/relationships/ctrlProp" Target="../ctrlProps/ctrlProp562.xml"/><Relationship Id="rId37" Type="http://schemas.openxmlformats.org/officeDocument/2006/relationships/ctrlProp" Target="../ctrlProps/ctrlProp567.xml"/><Relationship Id="rId40" Type="http://schemas.openxmlformats.org/officeDocument/2006/relationships/ctrlProp" Target="../ctrlProps/ctrlProp570.xml"/><Relationship Id="rId45" Type="http://schemas.openxmlformats.org/officeDocument/2006/relationships/ctrlProp" Target="../ctrlProps/ctrlProp575.xml"/><Relationship Id="rId53" Type="http://schemas.openxmlformats.org/officeDocument/2006/relationships/ctrlProp" Target="../ctrlProps/ctrlProp583.xml"/><Relationship Id="rId58" Type="http://schemas.openxmlformats.org/officeDocument/2006/relationships/ctrlProp" Target="../ctrlProps/ctrlProp588.xml"/><Relationship Id="rId66" Type="http://schemas.openxmlformats.org/officeDocument/2006/relationships/ctrlProp" Target="../ctrlProps/ctrlProp596.xml"/><Relationship Id="rId5" Type="http://schemas.openxmlformats.org/officeDocument/2006/relationships/ctrlProp" Target="../ctrlProps/ctrlProp535.xml"/><Relationship Id="rId61" Type="http://schemas.openxmlformats.org/officeDocument/2006/relationships/ctrlProp" Target="../ctrlProps/ctrlProp591.xml"/><Relationship Id="rId19" Type="http://schemas.openxmlformats.org/officeDocument/2006/relationships/ctrlProp" Target="../ctrlProps/ctrlProp549.xml"/><Relationship Id="rId14" Type="http://schemas.openxmlformats.org/officeDocument/2006/relationships/ctrlProp" Target="../ctrlProps/ctrlProp544.xml"/><Relationship Id="rId22" Type="http://schemas.openxmlformats.org/officeDocument/2006/relationships/ctrlProp" Target="../ctrlProps/ctrlProp552.xml"/><Relationship Id="rId27" Type="http://schemas.openxmlformats.org/officeDocument/2006/relationships/ctrlProp" Target="../ctrlProps/ctrlProp557.xml"/><Relationship Id="rId30" Type="http://schemas.openxmlformats.org/officeDocument/2006/relationships/ctrlProp" Target="../ctrlProps/ctrlProp560.xml"/><Relationship Id="rId35" Type="http://schemas.openxmlformats.org/officeDocument/2006/relationships/ctrlProp" Target="../ctrlProps/ctrlProp565.xml"/><Relationship Id="rId43" Type="http://schemas.openxmlformats.org/officeDocument/2006/relationships/ctrlProp" Target="../ctrlProps/ctrlProp573.xml"/><Relationship Id="rId48" Type="http://schemas.openxmlformats.org/officeDocument/2006/relationships/ctrlProp" Target="../ctrlProps/ctrlProp578.xml"/><Relationship Id="rId56" Type="http://schemas.openxmlformats.org/officeDocument/2006/relationships/ctrlProp" Target="../ctrlProps/ctrlProp586.xml"/><Relationship Id="rId64" Type="http://schemas.openxmlformats.org/officeDocument/2006/relationships/ctrlProp" Target="../ctrlProps/ctrlProp594.xml"/><Relationship Id="rId69" Type="http://schemas.openxmlformats.org/officeDocument/2006/relationships/ctrlProp" Target="../ctrlProps/ctrlProp599.xml"/><Relationship Id="rId8" Type="http://schemas.openxmlformats.org/officeDocument/2006/relationships/ctrlProp" Target="../ctrlProps/ctrlProp538.xml"/><Relationship Id="rId51" Type="http://schemas.openxmlformats.org/officeDocument/2006/relationships/ctrlProp" Target="../ctrlProps/ctrlProp581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2.xml"/><Relationship Id="rId17" Type="http://schemas.openxmlformats.org/officeDocument/2006/relationships/ctrlProp" Target="../ctrlProps/ctrlProp547.xml"/><Relationship Id="rId25" Type="http://schemas.openxmlformats.org/officeDocument/2006/relationships/ctrlProp" Target="../ctrlProps/ctrlProp555.xml"/><Relationship Id="rId33" Type="http://schemas.openxmlformats.org/officeDocument/2006/relationships/ctrlProp" Target="../ctrlProps/ctrlProp563.xml"/><Relationship Id="rId38" Type="http://schemas.openxmlformats.org/officeDocument/2006/relationships/ctrlProp" Target="../ctrlProps/ctrlProp568.xml"/><Relationship Id="rId46" Type="http://schemas.openxmlformats.org/officeDocument/2006/relationships/ctrlProp" Target="../ctrlProps/ctrlProp576.xml"/><Relationship Id="rId59" Type="http://schemas.openxmlformats.org/officeDocument/2006/relationships/ctrlProp" Target="../ctrlProps/ctrlProp589.xml"/><Relationship Id="rId67" Type="http://schemas.openxmlformats.org/officeDocument/2006/relationships/ctrlProp" Target="../ctrlProps/ctrlProp597.xml"/><Relationship Id="rId20" Type="http://schemas.openxmlformats.org/officeDocument/2006/relationships/ctrlProp" Target="../ctrlProps/ctrlProp550.xml"/><Relationship Id="rId41" Type="http://schemas.openxmlformats.org/officeDocument/2006/relationships/ctrlProp" Target="../ctrlProps/ctrlProp571.xml"/><Relationship Id="rId54" Type="http://schemas.openxmlformats.org/officeDocument/2006/relationships/ctrlProp" Target="../ctrlProps/ctrlProp584.xml"/><Relationship Id="rId62" Type="http://schemas.openxmlformats.org/officeDocument/2006/relationships/ctrlProp" Target="../ctrlProps/ctrlProp592.xml"/><Relationship Id="rId70" Type="http://schemas.openxmlformats.org/officeDocument/2006/relationships/ctrlProp" Target="../ctrlProps/ctrlProp600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536.xml"/><Relationship Id="rId15" Type="http://schemas.openxmlformats.org/officeDocument/2006/relationships/ctrlProp" Target="../ctrlProps/ctrlProp545.xml"/><Relationship Id="rId23" Type="http://schemas.openxmlformats.org/officeDocument/2006/relationships/ctrlProp" Target="../ctrlProps/ctrlProp553.xml"/><Relationship Id="rId28" Type="http://schemas.openxmlformats.org/officeDocument/2006/relationships/ctrlProp" Target="../ctrlProps/ctrlProp558.xml"/><Relationship Id="rId36" Type="http://schemas.openxmlformats.org/officeDocument/2006/relationships/ctrlProp" Target="../ctrlProps/ctrlProp566.xml"/><Relationship Id="rId49" Type="http://schemas.openxmlformats.org/officeDocument/2006/relationships/ctrlProp" Target="../ctrlProps/ctrlProp579.xml"/><Relationship Id="rId57" Type="http://schemas.openxmlformats.org/officeDocument/2006/relationships/ctrlProp" Target="../ctrlProps/ctrlProp587.xml"/><Relationship Id="rId10" Type="http://schemas.openxmlformats.org/officeDocument/2006/relationships/ctrlProp" Target="../ctrlProps/ctrlProp540.xml"/><Relationship Id="rId31" Type="http://schemas.openxmlformats.org/officeDocument/2006/relationships/ctrlProp" Target="../ctrlProps/ctrlProp561.xml"/><Relationship Id="rId44" Type="http://schemas.openxmlformats.org/officeDocument/2006/relationships/ctrlProp" Target="../ctrlProps/ctrlProp574.xml"/><Relationship Id="rId52" Type="http://schemas.openxmlformats.org/officeDocument/2006/relationships/ctrlProp" Target="../ctrlProps/ctrlProp582.xml"/><Relationship Id="rId60" Type="http://schemas.openxmlformats.org/officeDocument/2006/relationships/ctrlProp" Target="../ctrlProps/ctrlProp590.xml"/><Relationship Id="rId65" Type="http://schemas.openxmlformats.org/officeDocument/2006/relationships/ctrlProp" Target="../ctrlProps/ctrlProp595.xml"/><Relationship Id="rId4" Type="http://schemas.openxmlformats.org/officeDocument/2006/relationships/ctrlProp" Target="../ctrlProps/ctrlProp534.xml"/><Relationship Id="rId9" Type="http://schemas.openxmlformats.org/officeDocument/2006/relationships/ctrlProp" Target="../ctrlProps/ctrlProp539.xml"/><Relationship Id="rId13" Type="http://schemas.openxmlformats.org/officeDocument/2006/relationships/ctrlProp" Target="../ctrlProps/ctrlProp543.xml"/><Relationship Id="rId18" Type="http://schemas.openxmlformats.org/officeDocument/2006/relationships/ctrlProp" Target="../ctrlProps/ctrlProp548.xml"/><Relationship Id="rId39" Type="http://schemas.openxmlformats.org/officeDocument/2006/relationships/ctrlProp" Target="../ctrlProps/ctrlProp569.xml"/><Relationship Id="rId34" Type="http://schemas.openxmlformats.org/officeDocument/2006/relationships/ctrlProp" Target="../ctrlProps/ctrlProp564.xml"/><Relationship Id="rId50" Type="http://schemas.openxmlformats.org/officeDocument/2006/relationships/ctrlProp" Target="../ctrlProps/ctrlProp580.xml"/><Relationship Id="rId55" Type="http://schemas.openxmlformats.org/officeDocument/2006/relationships/ctrlProp" Target="../ctrlProps/ctrlProp58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14.xml"/><Relationship Id="rId21" Type="http://schemas.openxmlformats.org/officeDocument/2006/relationships/ctrlProp" Target="../ctrlProps/ctrlProp618.xml"/><Relationship Id="rId42" Type="http://schemas.openxmlformats.org/officeDocument/2006/relationships/ctrlProp" Target="../ctrlProps/ctrlProp639.xml"/><Relationship Id="rId47" Type="http://schemas.openxmlformats.org/officeDocument/2006/relationships/ctrlProp" Target="../ctrlProps/ctrlProp644.xml"/><Relationship Id="rId63" Type="http://schemas.openxmlformats.org/officeDocument/2006/relationships/ctrlProp" Target="../ctrlProps/ctrlProp660.xml"/><Relationship Id="rId68" Type="http://schemas.openxmlformats.org/officeDocument/2006/relationships/ctrlProp" Target="../ctrlProps/ctrlProp665.xml"/><Relationship Id="rId84" Type="http://schemas.openxmlformats.org/officeDocument/2006/relationships/ctrlProp" Target="../ctrlProps/ctrlProp681.xml"/><Relationship Id="rId89" Type="http://schemas.openxmlformats.org/officeDocument/2006/relationships/ctrlProp" Target="../ctrlProps/ctrlProp686.xml"/><Relationship Id="rId112" Type="http://schemas.openxmlformats.org/officeDocument/2006/relationships/ctrlProp" Target="../ctrlProps/ctrlProp709.xml"/><Relationship Id="rId16" Type="http://schemas.openxmlformats.org/officeDocument/2006/relationships/ctrlProp" Target="../ctrlProps/ctrlProp613.xml"/><Relationship Id="rId107" Type="http://schemas.openxmlformats.org/officeDocument/2006/relationships/ctrlProp" Target="../ctrlProps/ctrlProp704.xml"/><Relationship Id="rId11" Type="http://schemas.openxmlformats.org/officeDocument/2006/relationships/ctrlProp" Target="../ctrlProps/ctrlProp608.xml"/><Relationship Id="rId32" Type="http://schemas.openxmlformats.org/officeDocument/2006/relationships/ctrlProp" Target="../ctrlProps/ctrlProp629.xml"/><Relationship Id="rId37" Type="http://schemas.openxmlformats.org/officeDocument/2006/relationships/ctrlProp" Target="../ctrlProps/ctrlProp634.xml"/><Relationship Id="rId53" Type="http://schemas.openxmlformats.org/officeDocument/2006/relationships/ctrlProp" Target="../ctrlProps/ctrlProp650.xml"/><Relationship Id="rId58" Type="http://schemas.openxmlformats.org/officeDocument/2006/relationships/ctrlProp" Target="../ctrlProps/ctrlProp655.xml"/><Relationship Id="rId74" Type="http://schemas.openxmlformats.org/officeDocument/2006/relationships/ctrlProp" Target="../ctrlProps/ctrlProp671.xml"/><Relationship Id="rId79" Type="http://schemas.openxmlformats.org/officeDocument/2006/relationships/ctrlProp" Target="../ctrlProps/ctrlProp676.xml"/><Relationship Id="rId102" Type="http://schemas.openxmlformats.org/officeDocument/2006/relationships/ctrlProp" Target="../ctrlProps/ctrlProp699.xml"/><Relationship Id="rId123" Type="http://schemas.openxmlformats.org/officeDocument/2006/relationships/ctrlProp" Target="../ctrlProps/ctrlProp720.xml"/><Relationship Id="rId128" Type="http://schemas.openxmlformats.org/officeDocument/2006/relationships/ctrlProp" Target="../ctrlProps/ctrlProp725.xml"/><Relationship Id="rId5" Type="http://schemas.openxmlformats.org/officeDocument/2006/relationships/ctrlProp" Target="../ctrlProps/ctrlProp602.xml"/><Relationship Id="rId90" Type="http://schemas.openxmlformats.org/officeDocument/2006/relationships/ctrlProp" Target="../ctrlProps/ctrlProp687.xml"/><Relationship Id="rId95" Type="http://schemas.openxmlformats.org/officeDocument/2006/relationships/ctrlProp" Target="../ctrlProps/ctrlProp692.xml"/><Relationship Id="rId22" Type="http://schemas.openxmlformats.org/officeDocument/2006/relationships/ctrlProp" Target="../ctrlProps/ctrlProp619.xml"/><Relationship Id="rId27" Type="http://schemas.openxmlformats.org/officeDocument/2006/relationships/ctrlProp" Target="../ctrlProps/ctrlProp624.xml"/><Relationship Id="rId43" Type="http://schemas.openxmlformats.org/officeDocument/2006/relationships/ctrlProp" Target="../ctrlProps/ctrlProp640.xml"/><Relationship Id="rId48" Type="http://schemas.openxmlformats.org/officeDocument/2006/relationships/ctrlProp" Target="../ctrlProps/ctrlProp645.xml"/><Relationship Id="rId64" Type="http://schemas.openxmlformats.org/officeDocument/2006/relationships/ctrlProp" Target="../ctrlProps/ctrlProp661.xml"/><Relationship Id="rId69" Type="http://schemas.openxmlformats.org/officeDocument/2006/relationships/ctrlProp" Target="../ctrlProps/ctrlProp666.xml"/><Relationship Id="rId113" Type="http://schemas.openxmlformats.org/officeDocument/2006/relationships/ctrlProp" Target="../ctrlProps/ctrlProp710.xml"/><Relationship Id="rId118" Type="http://schemas.openxmlformats.org/officeDocument/2006/relationships/ctrlProp" Target="../ctrlProps/ctrlProp715.xml"/><Relationship Id="rId80" Type="http://schemas.openxmlformats.org/officeDocument/2006/relationships/ctrlProp" Target="../ctrlProps/ctrlProp677.xml"/><Relationship Id="rId85" Type="http://schemas.openxmlformats.org/officeDocument/2006/relationships/ctrlProp" Target="../ctrlProps/ctrlProp682.xml"/><Relationship Id="rId12" Type="http://schemas.openxmlformats.org/officeDocument/2006/relationships/ctrlProp" Target="../ctrlProps/ctrlProp609.xml"/><Relationship Id="rId17" Type="http://schemas.openxmlformats.org/officeDocument/2006/relationships/ctrlProp" Target="../ctrlProps/ctrlProp614.xml"/><Relationship Id="rId33" Type="http://schemas.openxmlformats.org/officeDocument/2006/relationships/ctrlProp" Target="../ctrlProps/ctrlProp630.xml"/><Relationship Id="rId38" Type="http://schemas.openxmlformats.org/officeDocument/2006/relationships/ctrlProp" Target="../ctrlProps/ctrlProp635.xml"/><Relationship Id="rId59" Type="http://schemas.openxmlformats.org/officeDocument/2006/relationships/ctrlProp" Target="../ctrlProps/ctrlProp656.xml"/><Relationship Id="rId103" Type="http://schemas.openxmlformats.org/officeDocument/2006/relationships/ctrlProp" Target="../ctrlProps/ctrlProp700.xml"/><Relationship Id="rId108" Type="http://schemas.openxmlformats.org/officeDocument/2006/relationships/ctrlProp" Target="../ctrlProps/ctrlProp705.xml"/><Relationship Id="rId124" Type="http://schemas.openxmlformats.org/officeDocument/2006/relationships/ctrlProp" Target="../ctrlProps/ctrlProp721.xml"/><Relationship Id="rId129" Type="http://schemas.openxmlformats.org/officeDocument/2006/relationships/ctrlProp" Target="../ctrlProps/ctrlProp726.xml"/><Relationship Id="rId54" Type="http://schemas.openxmlformats.org/officeDocument/2006/relationships/ctrlProp" Target="../ctrlProps/ctrlProp651.xml"/><Relationship Id="rId70" Type="http://schemas.openxmlformats.org/officeDocument/2006/relationships/ctrlProp" Target="../ctrlProps/ctrlProp667.xml"/><Relationship Id="rId75" Type="http://schemas.openxmlformats.org/officeDocument/2006/relationships/ctrlProp" Target="../ctrlProps/ctrlProp672.xml"/><Relationship Id="rId91" Type="http://schemas.openxmlformats.org/officeDocument/2006/relationships/ctrlProp" Target="../ctrlProps/ctrlProp688.xml"/><Relationship Id="rId96" Type="http://schemas.openxmlformats.org/officeDocument/2006/relationships/ctrlProp" Target="../ctrlProps/ctrlProp693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03.xml"/><Relationship Id="rId23" Type="http://schemas.openxmlformats.org/officeDocument/2006/relationships/ctrlProp" Target="../ctrlProps/ctrlProp620.xml"/><Relationship Id="rId28" Type="http://schemas.openxmlformats.org/officeDocument/2006/relationships/ctrlProp" Target="../ctrlProps/ctrlProp625.xml"/><Relationship Id="rId49" Type="http://schemas.openxmlformats.org/officeDocument/2006/relationships/ctrlProp" Target="../ctrlProps/ctrlProp646.xml"/><Relationship Id="rId114" Type="http://schemas.openxmlformats.org/officeDocument/2006/relationships/ctrlProp" Target="../ctrlProps/ctrlProp711.xml"/><Relationship Id="rId119" Type="http://schemas.openxmlformats.org/officeDocument/2006/relationships/ctrlProp" Target="../ctrlProps/ctrlProp716.xml"/><Relationship Id="rId44" Type="http://schemas.openxmlformats.org/officeDocument/2006/relationships/ctrlProp" Target="../ctrlProps/ctrlProp641.xml"/><Relationship Id="rId60" Type="http://schemas.openxmlformats.org/officeDocument/2006/relationships/ctrlProp" Target="../ctrlProps/ctrlProp657.xml"/><Relationship Id="rId65" Type="http://schemas.openxmlformats.org/officeDocument/2006/relationships/ctrlProp" Target="../ctrlProps/ctrlProp662.xml"/><Relationship Id="rId81" Type="http://schemas.openxmlformats.org/officeDocument/2006/relationships/ctrlProp" Target="../ctrlProps/ctrlProp678.xml"/><Relationship Id="rId86" Type="http://schemas.openxmlformats.org/officeDocument/2006/relationships/ctrlProp" Target="../ctrlProps/ctrlProp683.xml"/><Relationship Id="rId130" Type="http://schemas.openxmlformats.org/officeDocument/2006/relationships/ctrlProp" Target="../ctrlProps/ctrlProp727.xml"/><Relationship Id="rId13" Type="http://schemas.openxmlformats.org/officeDocument/2006/relationships/ctrlProp" Target="../ctrlProps/ctrlProp610.xml"/><Relationship Id="rId18" Type="http://schemas.openxmlformats.org/officeDocument/2006/relationships/ctrlProp" Target="../ctrlProps/ctrlProp615.xml"/><Relationship Id="rId39" Type="http://schemas.openxmlformats.org/officeDocument/2006/relationships/ctrlProp" Target="../ctrlProps/ctrlProp636.xml"/><Relationship Id="rId109" Type="http://schemas.openxmlformats.org/officeDocument/2006/relationships/ctrlProp" Target="../ctrlProps/ctrlProp706.xml"/><Relationship Id="rId34" Type="http://schemas.openxmlformats.org/officeDocument/2006/relationships/ctrlProp" Target="../ctrlProps/ctrlProp631.xml"/><Relationship Id="rId50" Type="http://schemas.openxmlformats.org/officeDocument/2006/relationships/ctrlProp" Target="../ctrlProps/ctrlProp647.xml"/><Relationship Id="rId55" Type="http://schemas.openxmlformats.org/officeDocument/2006/relationships/ctrlProp" Target="../ctrlProps/ctrlProp652.xml"/><Relationship Id="rId76" Type="http://schemas.openxmlformats.org/officeDocument/2006/relationships/ctrlProp" Target="../ctrlProps/ctrlProp673.xml"/><Relationship Id="rId97" Type="http://schemas.openxmlformats.org/officeDocument/2006/relationships/ctrlProp" Target="../ctrlProps/ctrlProp694.xml"/><Relationship Id="rId104" Type="http://schemas.openxmlformats.org/officeDocument/2006/relationships/ctrlProp" Target="../ctrlProps/ctrlProp701.xml"/><Relationship Id="rId120" Type="http://schemas.openxmlformats.org/officeDocument/2006/relationships/ctrlProp" Target="../ctrlProps/ctrlProp717.xml"/><Relationship Id="rId125" Type="http://schemas.openxmlformats.org/officeDocument/2006/relationships/ctrlProp" Target="../ctrlProps/ctrlProp722.xml"/><Relationship Id="rId7" Type="http://schemas.openxmlformats.org/officeDocument/2006/relationships/ctrlProp" Target="../ctrlProps/ctrlProp604.xml"/><Relationship Id="rId71" Type="http://schemas.openxmlformats.org/officeDocument/2006/relationships/ctrlProp" Target="../ctrlProps/ctrlProp668.xml"/><Relationship Id="rId92" Type="http://schemas.openxmlformats.org/officeDocument/2006/relationships/ctrlProp" Target="../ctrlProps/ctrlProp68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26.xml"/><Relationship Id="rId24" Type="http://schemas.openxmlformats.org/officeDocument/2006/relationships/ctrlProp" Target="../ctrlProps/ctrlProp621.xml"/><Relationship Id="rId40" Type="http://schemas.openxmlformats.org/officeDocument/2006/relationships/ctrlProp" Target="../ctrlProps/ctrlProp637.xml"/><Relationship Id="rId45" Type="http://schemas.openxmlformats.org/officeDocument/2006/relationships/ctrlProp" Target="../ctrlProps/ctrlProp642.xml"/><Relationship Id="rId66" Type="http://schemas.openxmlformats.org/officeDocument/2006/relationships/ctrlProp" Target="../ctrlProps/ctrlProp663.xml"/><Relationship Id="rId87" Type="http://schemas.openxmlformats.org/officeDocument/2006/relationships/ctrlProp" Target="../ctrlProps/ctrlProp684.xml"/><Relationship Id="rId110" Type="http://schemas.openxmlformats.org/officeDocument/2006/relationships/ctrlProp" Target="../ctrlProps/ctrlProp707.xml"/><Relationship Id="rId115" Type="http://schemas.openxmlformats.org/officeDocument/2006/relationships/ctrlProp" Target="../ctrlProps/ctrlProp712.xml"/><Relationship Id="rId131" Type="http://schemas.openxmlformats.org/officeDocument/2006/relationships/ctrlProp" Target="../ctrlProps/ctrlProp728.xml"/><Relationship Id="rId61" Type="http://schemas.openxmlformats.org/officeDocument/2006/relationships/ctrlProp" Target="../ctrlProps/ctrlProp658.xml"/><Relationship Id="rId82" Type="http://schemas.openxmlformats.org/officeDocument/2006/relationships/ctrlProp" Target="../ctrlProps/ctrlProp679.xml"/><Relationship Id="rId19" Type="http://schemas.openxmlformats.org/officeDocument/2006/relationships/ctrlProp" Target="../ctrlProps/ctrlProp616.xml"/><Relationship Id="rId14" Type="http://schemas.openxmlformats.org/officeDocument/2006/relationships/ctrlProp" Target="../ctrlProps/ctrlProp611.xml"/><Relationship Id="rId30" Type="http://schemas.openxmlformats.org/officeDocument/2006/relationships/ctrlProp" Target="../ctrlProps/ctrlProp627.xml"/><Relationship Id="rId35" Type="http://schemas.openxmlformats.org/officeDocument/2006/relationships/ctrlProp" Target="../ctrlProps/ctrlProp632.xml"/><Relationship Id="rId56" Type="http://schemas.openxmlformats.org/officeDocument/2006/relationships/ctrlProp" Target="../ctrlProps/ctrlProp653.xml"/><Relationship Id="rId77" Type="http://schemas.openxmlformats.org/officeDocument/2006/relationships/ctrlProp" Target="../ctrlProps/ctrlProp674.xml"/><Relationship Id="rId100" Type="http://schemas.openxmlformats.org/officeDocument/2006/relationships/ctrlProp" Target="../ctrlProps/ctrlProp697.xml"/><Relationship Id="rId105" Type="http://schemas.openxmlformats.org/officeDocument/2006/relationships/ctrlProp" Target="../ctrlProps/ctrlProp702.xml"/><Relationship Id="rId126" Type="http://schemas.openxmlformats.org/officeDocument/2006/relationships/ctrlProp" Target="../ctrlProps/ctrlProp723.xml"/><Relationship Id="rId8" Type="http://schemas.openxmlformats.org/officeDocument/2006/relationships/ctrlProp" Target="../ctrlProps/ctrlProp605.xml"/><Relationship Id="rId51" Type="http://schemas.openxmlformats.org/officeDocument/2006/relationships/ctrlProp" Target="../ctrlProps/ctrlProp648.xml"/><Relationship Id="rId72" Type="http://schemas.openxmlformats.org/officeDocument/2006/relationships/ctrlProp" Target="../ctrlProps/ctrlProp669.xml"/><Relationship Id="rId93" Type="http://schemas.openxmlformats.org/officeDocument/2006/relationships/ctrlProp" Target="../ctrlProps/ctrlProp690.xml"/><Relationship Id="rId98" Type="http://schemas.openxmlformats.org/officeDocument/2006/relationships/ctrlProp" Target="../ctrlProps/ctrlProp695.xml"/><Relationship Id="rId121" Type="http://schemas.openxmlformats.org/officeDocument/2006/relationships/ctrlProp" Target="../ctrlProps/ctrlProp718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622.xml"/><Relationship Id="rId46" Type="http://schemas.openxmlformats.org/officeDocument/2006/relationships/ctrlProp" Target="../ctrlProps/ctrlProp643.xml"/><Relationship Id="rId67" Type="http://schemas.openxmlformats.org/officeDocument/2006/relationships/ctrlProp" Target="../ctrlProps/ctrlProp664.xml"/><Relationship Id="rId116" Type="http://schemas.openxmlformats.org/officeDocument/2006/relationships/ctrlProp" Target="../ctrlProps/ctrlProp713.xml"/><Relationship Id="rId20" Type="http://schemas.openxmlformats.org/officeDocument/2006/relationships/ctrlProp" Target="../ctrlProps/ctrlProp617.xml"/><Relationship Id="rId41" Type="http://schemas.openxmlformats.org/officeDocument/2006/relationships/ctrlProp" Target="../ctrlProps/ctrlProp638.xml"/><Relationship Id="rId62" Type="http://schemas.openxmlformats.org/officeDocument/2006/relationships/ctrlProp" Target="../ctrlProps/ctrlProp659.xml"/><Relationship Id="rId83" Type="http://schemas.openxmlformats.org/officeDocument/2006/relationships/ctrlProp" Target="../ctrlProps/ctrlProp680.xml"/><Relationship Id="rId88" Type="http://schemas.openxmlformats.org/officeDocument/2006/relationships/ctrlProp" Target="../ctrlProps/ctrlProp685.xml"/><Relationship Id="rId111" Type="http://schemas.openxmlformats.org/officeDocument/2006/relationships/ctrlProp" Target="../ctrlProps/ctrlProp708.xml"/><Relationship Id="rId15" Type="http://schemas.openxmlformats.org/officeDocument/2006/relationships/ctrlProp" Target="../ctrlProps/ctrlProp612.xml"/><Relationship Id="rId36" Type="http://schemas.openxmlformats.org/officeDocument/2006/relationships/ctrlProp" Target="../ctrlProps/ctrlProp633.xml"/><Relationship Id="rId57" Type="http://schemas.openxmlformats.org/officeDocument/2006/relationships/ctrlProp" Target="../ctrlProps/ctrlProp654.xml"/><Relationship Id="rId106" Type="http://schemas.openxmlformats.org/officeDocument/2006/relationships/ctrlProp" Target="../ctrlProps/ctrlProp703.xml"/><Relationship Id="rId127" Type="http://schemas.openxmlformats.org/officeDocument/2006/relationships/ctrlProp" Target="../ctrlProps/ctrlProp724.xml"/><Relationship Id="rId10" Type="http://schemas.openxmlformats.org/officeDocument/2006/relationships/ctrlProp" Target="../ctrlProps/ctrlProp607.xml"/><Relationship Id="rId31" Type="http://schemas.openxmlformats.org/officeDocument/2006/relationships/ctrlProp" Target="../ctrlProps/ctrlProp628.xml"/><Relationship Id="rId52" Type="http://schemas.openxmlformats.org/officeDocument/2006/relationships/ctrlProp" Target="../ctrlProps/ctrlProp649.xml"/><Relationship Id="rId73" Type="http://schemas.openxmlformats.org/officeDocument/2006/relationships/ctrlProp" Target="../ctrlProps/ctrlProp670.xml"/><Relationship Id="rId78" Type="http://schemas.openxmlformats.org/officeDocument/2006/relationships/ctrlProp" Target="../ctrlProps/ctrlProp675.xml"/><Relationship Id="rId94" Type="http://schemas.openxmlformats.org/officeDocument/2006/relationships/ctrlProp" Target="../ctrlProps/ctrlProp691.xml"/><Relationship Id="rId99" Type="http://schemas.openxmlformats.org/officeDocument/2006/relationships/ctrlProp" Target="../ctrlProps/ctrlProp696.xml"/><Relationship Id="rId101" Type="http://schemas.openxmlformats.org/officeDocument/2006/relationships/ctrlProp" Target="../ctrlProps/ctrlProp698.xml"/><Relationship Id="rId122" Type="http://schemas.openxmlformats.org/officeDocument/2006/relationships/ctrlProp" Target="../ctrlProps/ctrlProp719.xml"/><Relationship Id="rId4" Type="http://schemas.openxmlformats.org/officeDocument/2006/relationships/ctrlProp" Target="../ctrlProps/ctrlProp601.xml"/><Relationship Id="rId9" Type="http://schemas.openxmlformats.org/officeDocument/2006/relationships/ctrlProp" Target="../ctrlProps/ctrlProp606.xml"/><Relationship Id="rId26" Type="http://schemas.openxmlformats.org/officeDocument/2006/relationships/ctrlProp" Target="../ctrlProps/ctrlProp62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4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42.xml"/><Relationship Id="rId21" Type="http://schemas.openxmlformats.org/officeDocument/2006/relationships/ctrlProp" Target="../ctrlProps/ctrlProp746.xml"/><Relationship Id="rId42" Type="http://schemas.openxmlformats.org/officeDocument/2006/relationships/ctrlProp" Target="../ctrlProps/ctrlProp767.xml"/><Relationship Id="rId63" Type="http://schemas.openxmlformats.org/officeDocument/2006/relationships/ctrlProp" Target="../ctrlProps/ctrlProp788.xml"/><Relationship Id="rId84" Type="http://schemas.openxmlformats.org/officeDocument/2006/relationships/ctrlProp" Target="../ctrlProps/ctrlProp809.xml"/><Relationship Id="rId138" Type="http://schemas.openxmlformats.org/officeDocument/2006/relationships/ctrlProp" Target="../ctrlProps/ctrlProp863.xml"/><Relationship Id="rId107" Type="http://schemas.openxmlformats.org/officeDocument/2006/relationships/ctrlProp" Target="../ctrlProps/ctrlProp832.xml"/><Relationship Id="rId11" Type="http://schemas.openxmlformats.org/officeDocument/2006/relationships/ctrlProp" Target="../ctrlProps/ctrlProp736.xml"/><Relationship Id="rId32" Type="http://schemas.openxmlformats.org/officeDocument/2006/relationships/ctrlProp" Target="../ctrlProps/ctrlProp757.xml"/><Relationship Id="rId53" Type="http://schemas.openxmlformats.org/officeDocument/2006/relationships/ctrlProp" Target="../ctrlProps/ctrlProp778.xml"/><Relationship Id="rId74" Type="http://schemas.openxmlformats.org/officeDocument/2006/relationships/ctrlProp" Target="../ctrlProps/ctrlProp799.xml"/><Relationship Id="rId128" Type="http://schemas.openxmlformats.org/officeDocument/2006/relationships/ctrlProp" Target="../ctrlProps/ctrlProp853.xml"/><Relationship Id="rId5" Type="http://schemas.openxmlformats.org/officeDocument/2006/relationships/ctrlProp" Target="../ctrlProps/ctrlProp730.xml"/><Relationship Id="rId90" Type="http://schemas.openxmlformats.org/officeDocument/2006/relationships/ctrlProp" Target="../ctrlProps/ctrlProp815.xml"/><Relationship Id="rId95" Type="http://schemas.openxmlformats.org/officeDocument/2006/relationships/ctrlProp" Target="../ctrlProps/ctrlProp820.xml"/><Relationship Id="rId22" Type="http://schemas.openxmlformats.org/officeDocument/2006/relationships/ctrlProp" Target="../ctrlProps/ctrlProp747.xml"/><Relationship Id="rId27" Type="http://schemas.openxmlformats.org/officeDocument/2006/relationships/ctrlProp" Target="../ctrlProps/ctrlProp752.xml"/><Relationship Id="rId43" Type="http://schemas.openxmlformats.org/officeDocument/2006/relationships/ctrlProp" Target="../ctrlProps/ctrlProp768.xml"/><Relationship Id="rId48" Type="http://schemas.openxmlformats.org/officeDocument/2006/relationships/ctrlProp" Target="../ctrlProps/ctrlProp773.xml"/><Relationship Id="rId64" Type="http://schemas.openxmlformats.org/officeDocument/2006/relationships/ctrlProp" Target="../ctrlProps/ctrlProp789.xml"/><Relationship Id="rId69" Type="http://schemas.openxmlformats.org/officeDocument/2006/relationships/ctrlProp" Target="../ctrlProps/ctrlProp794.xml"/><Relationship Id="rId113" Type="http://schemas.openxmlformats.org/officeDocument/2006/relationships/ctrlProp" Target="../ctrlProps/ctrlProp838.xml"/><Relationship Id="rId118" Type="http://schemas.openxmlformats.org/officeDocument/2006/relationships/ctrlProp" Target="../ctrlProps/ctrlProp843.xml"/><Relationship Id="rId134" Type="http://schemas.openxmlformats.org/officeDocument/2006/relationships/ctrlProp" Target="../ctrlProps/ctrlProp859.xml"/><Relationship Id="rId139" Type="http://schemas.openxmlformats.org/officeDocument/2006/relationships/ctrlProp" Target="../ctrlProps/ctrlProp864.xml"/><Relationship Id="rId80" Type="http://schemas.openxmlformats.org/officeDocument/2006/relationships/ctrlProp" Target="../ctrlProps/ctrlProp805.xml"/><Relationship Id="rId85" Type="http://schemas.openxmlformats.org/officeDocument/2006/relationships/ctrlProp" Target="../ctrlProps/ctrlProp810.xml"/><Relationship Id="rId12" Type="http://schemas.openxmlformats.org/officeDocument/2006/relationships/ctrlProp" Target="../ctrlProps/ctrlProp737.xml"/><Relationship Id="rId17" Type="http://schemas.openxmlformats.org/officeDocument/2006/relationships/ctrlProp" Target="../ctrlProps/ctrlProp742.xml"/><Relationship Id="rId33" Type="http://schemas.openxmlformats.org/officeDocument/2006/relationships/ctrlProp" Target="../ctrlProps/ctrlProp758.xml"/><Relationship Id="rId38" Type="http://schemas.openxmlformats.org/officeDocument/2006/relationships/ctrlProp" Target="../ctrlProps/ctrlProp763.xml"/><Relationship Id="rId59" Type="http://schemas.openxmlformats.org/officeDocument/2006/relationships/ctrlProp" Target="../ctrlProps/ctrlProp784.xml"/><Relationship Id="rId103" Type="http://schemas.openxmlformats.org/officeDocument/2006/relationships/ctrlProp" Target="../ctrlProps/ctrlProp828.xml"/><Relationship Id="rId108" Type="http://schemas.openxmlformats.org/officeDocument/2006/relationships/ctrlProp" Target="../ctrlProps/ctrlProp833.xml"/><Relationship Id="rId124" Type="http://schemas.openxmlformats.org/officeDocument/2006/relationships/ctrlProp" Target="../ctrlProps/ctrlProp849.xml"/><Relationship Id="rId129" Type="http://schemas.openxmlformats.org/officeDocument/2006/relationships/ctrlProp" Target="../ctrlProps/ctrlProp854.xml"/><Relationship Id="rId54" Type="http://schemas.openxmlformats.org/officeDocument/2006/relationships/ctrlProp" Target="../ctrlProps/ctrlProp779.xml"/><Relationship Id="rId70" Type="http://schemas.openxmlformats.org/officeDocument/2006/relationships/ctrlProp" Target="../ctrlProps/ctrlProp795.xml"/><Relationship Id="rId75" Type="http://schemas.openxmlformats.org/officeDocument/2006/relationships/ctrlProp" Target="../ctrlProps/ctrlProp800.xml"/><Relationship Id="rId91" Type="http://schemas.openxmlformats.org/officeDocument/2006/relationships/ctrlProp" Target="../ctrlProps/ctrlProp816.xml"/><Relationship Id="rId96" Type="http://schemas.openxmlformats.org/officeDocument/2006/relationships/ctrlProp" Target="../ctrlProps/ctrlProp821.xml"/><Relationship Id="rId140" Type="http://schemas.openxmlformats.org/officeDocument/2006/relationships/ctrlProp" Target="../ctrlProps/ctrlProp865.xml"/><Relationship Id="rId145" Type="http://schemas.openxmlformats.org/officeDocument/2006/relationships/ctrlProp" Target="../ctrlProps/ctrlProp870.xml"/><Relationship Id="rId1" Type="http://schemas.openxmlformats.org/officeDocument/2006/relationships/printerSettings" Target="../printerSettings/printerSettings55.bin"/><Relationship Id="rId6" Type="http://schemas.openxmlformats.org/officeDocument/2006/relationships/ctrlProp" Target="../ctrlProps/ctrlProp731.xml"/><Relationship Id="rId23" Type="http://schemas.openxmlformats.org/officeDocument/2006/relationships/ctrlProp" Target="../ctrlProps/ctrlProp748.xml"/><Relationship Id="rId28" Type="http://schemas.openxmlformats.org/officeDocument/2006/relationships/ctrlProp" Target="../ctrlProps/ctrlProp753.xml"/><Relationship Id="rId49" Type="http://schemas.openxmlformats.org/officeDocument/2006/relationships/ctrlProp" Target="../ctrlProps/ctrlProp774.xml"/><Relationship Id="rId114" Type="http://schemas.openxmlformats.org/officeDocument/2006/relationships/ctrlProp" Target="../ctrlProps/ctrlProp839.xml"/><Relationship Id="rId119" Type="http://schemas.openxmlformats.org/officeDocument/2006/relationships/ctrlProp" Target="../ctrlProps/ctrlProp844.xml"/><Relationship Id="rId44" Type="http://schemas.openxmlformats.org/officeDocument/2006/relationships/ctrlProp" Target="../ctrlProps/ctrlProp769.xml"/><Relationship Id="rId60" Type="http://schemas.openxmlformats.org/officeDocument/2006/relationships/ctrlProp" Target="../ctrlProps/ctrlProp785.xml"/><Relationship Id="rId65" Type="http://schemas.openxmlformats.org/officeDocument/2006/relationships/ctrlProp" Target="../ctrlProps/ctrlProp790.xml"/><Relationship Id="rId81" Type="http://schemas.openxmlformats.org/officeDocument/2006/relationships/ctrlProp" Target="../ctrlProps/ctrlProp806.xml"/><Relationship Id="rId86" Type="http://schemas.openxmlformats.org/officeDocument/2006/relationships/ctrlProp" Target="../ctrlProps/ctrlProp811.xml"/><Relationship Id="rId130" Type="http://schemas.openxmlformats.org/officeDocument/2006/relationships/ctrlProp" Target="../ctrlProps/ctrlProp855.xml"/><Relationship Id="rId135" Type="http://schemas.openxmlformats.org/officeDocument/2006/relationships/ctrlProp" Target="../ctrlProps/ctrlProp860.xml"/><Relationship Id="rId13" Type="http://schemas.openxmlformats.org/officeDocument/2006/relationships/ctrlProp" Target="../ctrlProps/ctrlProp738.xml"/><Relationship Id="rId18" Type="http://schemas.openxmlformats.org/officeDocument/2006/relationships/ctrlProp" Target="../ctrlProps/ctrlProp743.xml"/><Relationship Id="rId39" Type="http://schemas.openxmlformats.org/officeDocument/2006/relationships/ctrlProp" Target="../ctrlProps/ctrlProp764.xml"/><Relationship Id="rId109" Type="http://schemas.openxmlformats.org/officeDocument/2006/relationships/ctrlProp" Target="../ctrlProps/ctrlProp834.xml"/><Relationship Id="rId34" Type="http://schemas.openxmlformats.org/officeDocument/2006/relationships/ctrlProp" Target="../ctrlProps/ctrlProp759.xml"/><Relationship Id="rId50" Type="http://schemas.openxmlformats.org/officeDocument/2006/relationships/ctrlProp" Target="../ctrlProps/ctrlProp775.xml"/><Relationship Id="rId55" Type="http://schemas.openxmlformats.org/officeDocument/2006/relationships/ctrlProp" Target="../ctrlProps/ctrlProp780.xml"/><Relationship Id="rId76" Type="http://schemas.openxmlformats.org/officeDocument/2006/relationships/ctrlProp" Target="../ctrlProps/ctrlProp801.xml"/><Relationship Id="rId97" Type="http://schemas.openxmlformats.org/officeDocument/2006/relationships/ctrlProp" Target="../ctrlProps/ctrlProp822.xml"/><Relationship Id="rId104" Type="http://schemas.openxmlformats.org/officeDocument/2006/relationships/ctrlProp" Target="../ctrlProps/ctrlProp829.xml"/><Relationship Id="rId120" Type="http://schemas.openxmlformats.org/officeDocument/2006/relationships/ctrlProp" Target="../ctrlProps/ctrlProp845.xml"/><Relationship Id="rId125" Type="http://schemas.openxmlformats.org/officeDocument/2006/relationships/ctrlProp" Target="../ctrlProps/ctrlProp850.xml"/><Relationship Id="rId141" Type="http://schemas.openxmlformats.org/officeDocument/2006/relationships/ctrlProp" Target="../ctrlProps/ctrlProp866.xml"/><Relationship Id="rId146" Type="http://schemas.openxmlformats.org/officeDocument/2006/relationships/ctrlProp" Target="../ctrlProps/ctrlProp871.xml"/><Relationship Id="rId7" Type="http://schemas.openxmlformats.org/officeDocument/2006/relationships/ctrlProp" Target="../ctrlProps/ctrlProp732.xml"/><Relationship Id="rId71" Type="http://schemas.openxmlformats.org/officeDocument/2006/relationships/ctrlProp" Target="../ctrlProps/ctrlProp796.xml"/><Relationship Id="rId92" Type="http://schemas.openxmlformats.org/officeDocument/2006/relationships/ctrlProp" Target="../ctrlProps/ctrlProp817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54.xml"/><Relationship Id="rId24" Type="http://schemas.openxmlformats.org/officeDocument/2006/relationships/ctrlProp" Target="../ctrlProps/ctrlProp749.xml"/><Relationship Id="rId40" Type="http://schemas.openxmlformats.org/officeDocument/2006/relationships/ctrlProp" Target="../ctrlProps/ctrlProp765.xml"/><Relationship Id="rId45" Type="http://schemas.openxmlformats.org/officeDocument/2006/relationships/ctrlProp" Target="../ctrlProps/ctrlProp770.xml"/><Relationship Id="rId66" Type="http://schemas.openxmlformats.org/officeDocument/2006/relationships/ctrlProp" Target="../ctrlProps/ctrlProp791.xml"/><Relationship Id="rId87" Type="http://schemas.openxmlformats.org/officeDocument/2006/relationships/ctrlProp" Target="../ctrlProps/ctrlProp812.xml"/><Relationship Id="rId110" Type="http://schemas.openxmlformats.org/officeDocument/2006/relationships/ctrlProp" Target="../ctrlProps/ctrlProp835.xml"/><Relationship Id="rId115" Type="http://schemas.openxmlformats.org/officeDocument/2006/relationships/ctrlProp" Target="../ctrlProps/ctrlProp840.xml"/><Relationship Id="rId131" Type="http://schemas.openxmlformats.org/officeDocument/2006/relationships/ctrlProp" Target="../ctrlProps/ctrlProp856.xml"/><Relationship Id="rId136" Type="http://schemas.openxmlformats.org/officeDocument/2006/relationships/ctrlProp" Target="../ctrlProps/ctrlProp861.xml"/><Relationship Id="rId61" Type="http://schemas.openxmlformats.org/officeDocument/2006/relationships/ctrlProp" Target="../ctrlProps/ctrlProp786.xml"/><Relationship Id="rId82" Type="http://schemas.openxmlformats.org/officeDocument/2006/relationships/ctrlProp" Target="../ctrlProps/ctrlProp807.xml"/><Relationship Id="rId19" Type="http://schemas.openxmlformats.org/officeDocument/2006/relationships/ctrlProp" Target="../ctrlProps/ctrlProp744.xml"/><Relationship Id="rId14" Type="http://schemas.openxmlformats.org/officeDocument/2006/relationships/ctrlProp" Target="../ctrlProps/ctrlProp739.xml"/><Relationship Id="rId30" Type="http://schemas.openxmlformats.org/officeDocument/2006/relationships/ctrlProp" Target="../ctrlProps/ctrlProp755.xml"/><Relationship Id="rId35" Type="http://schemas.openxmlformats.org/officeDocument/2006/relationships/ctrlProp" Target="../ctrlProps/ctrlProp760.xml"/><Relationship Id="rId56" Type="http://schemas.openxmlformats.org/officeDocument/2006/relationships/ctrlProp" Target="../ctrlProps/ctrlProp781.xml"/><Relationship Id="rId77" Type="http://schemas.openxmlformats.org/officeDocument/2006/relationships/ctrlProp" Target="../ctrlProps/ctrlProp802.xml"/><Relationship Id="rId100" Type="http://schemas.openxmlformats.org/officeDocument/2006/relationships/ctrlProp" Target="../ctrlProps/ctrlProp825.xml"/><Relationship Id="rId105" Type="http://schemas.openxmlformats.org/officeDocument/2006/relationships/ctrlProp" Target="../ctrlProps/ctrlProp830.xml"/><Relationship Id="rId126" Type="http://schemas.openxmlformats.org/officeDocument/2006/relationships/ctrlProp" Target="../ctrlProps/ctrlProp851.xml"/><Relationship Id="rId8" Type="http://schemas.openxmlformats.org/officeDocument/2006/relationships/ctrlProp" Target="../ctrlProps/ctrlProp733.xml"/><Relationship Id="rId51" Type="http://schemas.openxmlformats.org/officeDocument/2006/relationships/ctrlProp" Target="../ctrlProps/ctrlProp776.xml"/><Relationship Id="rId72" Type="http://schemas.openxmlformats.org/officeDocument/2006/relationships/ctrlProp" Target="../ctrlProps/ctrlProp797.xml"/><Relationship Id="rId93" Type="http://schemas.openxmlformats.org/officeDocument/2006/relationships/ctrlProp" Target="../ctrlProps/ctrlProp818.xml"/><Relationship Id="rId98" Type="http://schemas.openxmlformats.org/officeDocument/2006/relationships/ctrlProp" Target="../ctrlProps/ctrlProp823.xml"/><Relationship Id="rId121" Type="http://schemas.openxmlformats.org/officeDocument/2006/relationships/ctrlProp" Target="../ctrlProps/ctrlProp846.xml"/><Relationship Id="rId142" Type="http://schemas.openxmlformats.org/officeDocument/2006/relationships/ctrlProp" Target="../ctrlProps/ctrlProp867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50.xml"/><Relationship Id="rId46" Type="http://schemas.openxmlformats.org/officeDocument/2006/relationships/ctrlProp" Target="../ctrlProps/ctrlProp771.xml"/><Relationship Id="rId67" Type="http://schemas.openxmlformats.org/officeDocument/2006/relationships/ctrlProp" Target="../ctrlProps/ctrlProp792.xml"/><Relationship Id="rId116" Type="http://schemas.openxmlformats.org/officeDocument/2006/relationships/ctrlProp" Target="../ctrlProps/ctrlProp841.xml"/><Relationship Id="rId137" Type="http://schemas.openxmlformats.org/officeDocument/2006/relationships/ctrlProp" Target="../ctrlProps/ctrlProp862.xml"/><Relationship Id="rId20" Type="http://schemas.openxmlformats.org/officeDocument/2006/relationships/ctrlProp" Target="../ctrlProps/ctrlProp745.xml"/><Relationship Id="rId41" Type="http://schemas.openxmlformats.org/officeDocument/2006/relationships/ctrlProp" Target="../ctrlProps/ctrlProp766.xml"/><Relationship Id="rId62" Type="http://schemas.openxmlformats.org/officeDocument/2006/relationships/ctrlProp" Target="../ctrlProps/ctrlProp787.xml"/><Relationship Id="rId83" Type="http://schemas.openxmlformats.org/officeDocument/2006/relationships/ctrlProp" Target="../ctrlProps/ctrlProp808.xml"/><Relationship Id="rId88" Type="http://schemas.openxmlformats.org/officeDocument/2006/relationships/ctrlProp" Target="../ctrlProps/ctrlProp813.xml"/><Relationship Id="rId111" Type="http://schemas.openxmlformats.org/officeDocument/2006/relationships/ctrlProp" Target="../ctrlProps/ctrlProp836.xml"/><Relationship Id="rId132" Type="http://schemas.openxmlformats.org/officeDocument/2006/relationships/ctrlProp" Target="../ctrlProps/ctrlProp857.xml"/><Relationship Id="rId15" Type="http://schemas.openxmlformats.org/officeDocument/2006/relationships/ctrlProp" Target="../ctrlProps/ctrlProp740.xml"/><Relationship Id="rId36" Type="http://schemas.openxmlformats.org/officeDocument/2006/relationships/ctrlProp" Target="../ctrlProps/ctrlProp761.xml"/><Relationship Id="rId57" Type="http://schemas.openxmlformats.org/officeDocument/2006/relationships/ctrlProp" Target="../ctrlProps/ctrlProp782.xml"/><Relationship Id="rId106" Type="http://schemas.openxmlformats.org/officeDocument/2006/relationships/ctrlProp" Target="../ctrlProps/ctrlProp831.xml"/><Relationship Id="rId127" Type="http://schemas.openxmlformats.org/officeDocument/2006/relationships/ctrlProp" Target="../ctrlProps/ctrlProp852.xml"/><Relationship Id="rId10" Type="http://schemas.openxmlformats.org/officeDocument/2006/relationships/ctrlProp" Target="../ctrlProps/ctrlProp735.xml"/><Relationship Id="rId31" Type="http://schemas.openxmlformats.org/officeDocument/2006/relationships/ctrlProp" Target="../ctrlProps/ctrlProp756.xml"/><Relationship Id="rId52" Type="http://schemas.openxmlformats.org/officeDocument/2006/relationships/ctrlProp" Target="../ctrlProps/ctrlProp777.xml"/><Relationship Id="rId73" Type="http://schemas.openxmlformats.org/officeDocument/2006/relationships/ctrlProp" Target="../ctrlProps/ctrlProp798.xml"/><Relationship Id="rId78" Type="http://schemas.openxmlformats.org/officeDocument/2006/relationships/ctrlProp" Target="../ctrlProps/ctrlProp803.xml"/><Relationship Id="rId94" Type="http://schemas.openxmlformats.org/officeDocument/2006/relationships/ctrlProp" Target="../ctrlProps/ctrlProp819.xml"/><Relationship Id="rId99" Type="http://schemas.openxmlformats.org/officeDocument/2006/relationships/ctrlProp" Target="../ctrlProps/ctrlProp824.xml"/><Relationship Id="rId101" Type="http://schemas.openxmlformats.org/officeDocument/2006/relationships/ctrlProp" Target="../ctrlProps/ctrlProp826.xml"/><Relationship Id="rId122" Type="http://schemas.openxmlformats.org/officeDocument/2006/relationships/ctrlProp" Target="../ctrlProps/ctrlProp847.xml"/><Relationship Id="rId143" Type="http://schemas.openxmlformats.org/officeDocument/2006/relationships/ctrlProp" Target="../ctrlProps/ctrlProp868.xml"/><Relationship Id="rId4" Type="http://schemas.openxmlformats.org/officeDocument/2006/relationships/ctrlProp" Target="../ctrlProps/ctrlProp729.xml"/><Relationship Id="rId9" Type="http://schemas.openxmlformats.org/officeDocument/2006/relationships/ctrlProp" Target="../ctrlProps/ctrlProp734.xml"/><Relationship Id="rId26" Type="http://schemas.openxmlformats.org/officeDocument/2006/relationships/ctrlProp" Target="../ctrlProps/ctrlProp751.xml"/><Relationship Id="rId47" Type="http://schemas.openxmlformats.org/officeDocument/2006/relationships/ctrlProp" Target="../ctrlProps/ctrlProp772.xml"/><Relationship Id="rId68" Type="http://schemas.openxmlformats.org/officeDocument/2006/relationships/ctrlProp" Target="../ctrlProps/ctrlProp793.xml"/><Relationship Id="rId89" Type="http://schemas.openxmlformats.org/officeDocument/2006/relationships/ctrlProp" Target="../ctrlProps/ctrlProp814.xml"/><Relationship Id="rId112" Type="http://schemas.openxmlformats.org/officeDocument/2006/relationships/ctrlProp" Target="../ctrlProps/ctrlProp837.xml"/><Relationship Id="rId133" Type="http://schemas.openxmlformats.org/officeDocument/2006/relationships/ctrlProp" Target="../ctrlProps/ctrlProp858.xml"/><Relationship Id="rId16" Type="http://schemas.openxmlformats.org/officeDocument/2006/relationships/ctrlProp" Target="../ctrlProps/ctrlProp741.xml"/><Relationship Id="rId37" Type="http://schemas.openxmlformats.org/officeDocument/2006/relationships/ctrlProp" Target="../ctrlProps/ctrlProp762.xml"/><Relationship Id="rId58" Type="http://schemas.openxmlformats.org/officeDocument/2006/relationships/ctrlProp" Target="../ctrlProps/ctrlProp783.xml"/><Relationship Id="rId79" Type="http://schemas.openxmlformats.org/officeDocument/2006/relationships/ctrlProp" Target="../ctrlProps/ctrlProp804.xml"/><Relationship Id="rId102" Type="http://schemas.openxmlformats.org/officeDocument/2006/relationships/ctrlProp" Target="../ctrlProps/ctrlProp827.xml"/><Relationship Id="rId123" Type="http://schemas.openxmlformats.org/officeDocument/2006/relationships/ctrlProp" Target="../ctrlProps/ctrlProp848.xml"/><Relationship Id="rId144" Type="http://schemas.openxmlformats.org/officeDocument/2006/relationships/ctrlProp" Target="../ctrlProps/ctrlProp869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94.xml"/><Relationship Id="rId117" Type="http://schemas.openxmlformats.org/officeDocument/2006/relationships/ctrlProp" Target="../ctrlProps/ctrlProp985.xml"/><Relationship Id="rId21" Type="http://schemas.openxmlformats.org/officeDocument/2006/relationships/ctrlProp" Target="../ctrlProps/ctrlProp889.xml"/><Relationship Id="rId42" Type="http://schemas.openxmlformats.org/officeDocument/2006/relationships/ctrlProp" Target="../ctrlProps/ctrlProp910.xml"/><Relationship Id="rId47" Type="http://schemas.openxmlformats.org/officeDocument/2006/relationships/ctrlProp" Target="../ctrlProps/ctrlProp915.xml"/><Relationship Id="rId63" Type="http://schemas.openxmlformats.org/officeDocument/2006/relationships/ctrlProp" Target="../ctrlProps/ctrlProp931.xml"/><Relationship Id="rId68" Type="http://schemas.openxmlformats.org/officeDocument/2006/relationships/ctrlProp" Target="../ctrlProps/ctrlProp936.xml"/><Relationship Id="rId84" Type="http://schemas.openxmlformats.org/officeDocument/2006/relationships/ctrlProp" Target="../ctrlProps/ctrlProp952.xml"/><Relationship Id="rId89" Type="http://schemas.openxmlformats.org/officeDocument/2006/relationships/ctrlProp" Target="../ctrlProps/ctrlProp957.xml"/><Relationship Id="rId112" Type="http://schemas.openxmlformats.org/officeDocument/2006/relationships/ctrlProp" Target="../ctrlProps/ctrlProp980.xml"/><Relationship Id="rId16" Type="http://schemas.openxmlformats.org/officeDocument/2006/relationships/ctrlProp" Target="../ctrlProps/ctrlProp884.xml"/><Relationship Id="rId107" Type="http://schemas.openxmlformats.org/officeDocument/2006/relationships/ctrlProp" Target="../ctrlProps/ctrlProp975.xml"/><Relationship Id="rId11" Type="http://schemas.openxmlformats.org/officeDocument/2006/relationships/ctrlProp" Target="../ctrlProps/ctrlProp879.xml"/><Relationship Id="rId32" Type="http://schemas.openxmlformats.org/officeDocument/2006/relationships/ctrlProp" Target="../ctrlProps/ctrlProp900.xml"/><Relationship Id="rId37" Type="http://schemas.openxmlformats.org/officeDocument/2006/relationships/ctrlProp" Target="../ctrlProps/ctrlProp905.xml"/><Relationship Id="rId53" Type="http://schemas.openxmlformats.org/officeDocument/2006/relationships/ctrlProp" Target="../ctrlProps/ctrlProp921.xml"/><Relationship Id="rId58" Type="http://schemas.openxmlformats.org/officeDocument/2006/relationships/ctrlProp" Target="../ctrlProps/ctrlProp926.xml"/><Relationship Id="rId74" Type="http://schemas.openxmlformats.org/officeDocument/2006/relationships/ctrlProp" Target="../ctrlProps/ctrlProp942.xml"/><Relationship Id="rId79" Type="http://schemas.openxmlformats.org/officeDocument/2006/relationships/ctrlProp" Target="../ctrlProps/ctrlProp947.xml"/><Relationship Id="rId102" Type="http://schemas.openxmlformats.org/officeDocument/2006/relationships/ctrlProp" Target="../ctrlProps/ctrlProp970.xml"/><Relationship Id="rId123" Type="http://schemas.openxmlformats.org/officeDocument/2006/relationships/ctrlProp" Target="../ctrlProps/ctrlProp991.xml"/><Relationship Id="rId5" Type="http://schemas.openxmlformats.org/officeDocument/2006/relationships/ctrlProp" Target="../ctrlProps/ctrlProp873.xml"/><Relationship Id="rId90" Type="http://schemas.openxmlformats.org/officeDocument/2006/relationships/ctrlProp" Target="../ctrlProps/ctrlProp958.xml"/><Relationship Id="rId95" Type="http://schemas.openxmlformats.org/officeDocument/2006/relationships/ctrlProp" Target="../ctrlProps/ctrlProp963.xml"/><Relationship Id="rId22" Type="http://schemas.openxmlformats.org/officeDocument/2006/relationships/ctrlProp" Target="../ctrlProps/ctrlProp890.xml"/><Relationship Id="rId27" Type="http://schemas.openxmlformats.org/officeDocument/2006/relationships/ctrlProp" Target="../ctrlProps/ctrlProp895.xml"/><Relationship Id="rId43" Type="http://schemas.openxmlformats.org/officeDocument/2006/relationships/ctrlProp" Target="../ctrlProps/ctrlProp911.xml"/><Relationship Id="rId48" Type="http://schemas.openxmlformats.org/officeDocument/2006/relationships/ctrlProp" Target="../ctrlProps/ctrlProp916.xml"/><Relationship Id="rId64" Type="http://schemas.openxmlformats.org/officeDocument/2006/relationships/ctrlProp" Target="../ctrlProps/ctrlProp932.xml"/><Relationship Id="rId69" Type="http://schemas.openxmlformats.org/officeDocument/2006/relationships/ctrlProp" Target="../ctrlProps/ctrlProp937.xml"/><Relationship Id="rId113" Type="http://schemas.openxmlformats.org/officeDocument/2006/relationships/ctrlProp" Target="../ctrlProps/ctrlProp981.xml"/><Relationship Id="rId118" Type="http://schemas.openxmlformats.org/officeDocument/2006/relationships/ctrlProp" Target="../ctrlProps/ctrlProp986.xml"/><Relationship Id="rId80" Type="http://schemas.openxmlformats.org/officeDocument/2006/relationships/ctrlProp" Target="../ctrlProps/ctrlProp948.xml"/><Relationship Id="rId85" Type="http://schemas.openxmlformats.org/officeDocument/2006/relationships/ctrlProp" Target="../ctrlProps/ctrlProp953.xml"/><Relationship Id="rId12" Type="http://schemas.openxmlformats.org/officeDocument/2006/relationships/ctrlProp" Target="../ctrlProps/ctrlProp880.xml"/><Relationship Id="rId17" Type="http://schemas.openxmlformats.org/officeDocument/2006/relationships/ctrlProp" Target="../ctrlProps/ctrlProp885.xml"/><Relationship Id="rId33" Type="http://schemas.openxmlformats.org/officeDocument/2006/relationships/ctrlProp" Target="../ctrlProps/ctrlProp901.xml"/><Relationship Id="rId38" Type="http://schemas.openxmlformats.org/officeDocument/2006/relationships/ctrlProp" Target="../ctrlProps/ctrlProp906.xml"/><Relationship Id="rId59" Type="http://schemas.openxmlformats.org/officeDocument/2006/relationships/ctrlProp" Target="../ctrlProps/ctrlProp927.xml"/><Relationship Id="rId103" Type="http://schemas.openxmlformats.org/officeDocument/2006/relationships/ctrlProp" Target="../ctrlProps/ctrlProp971.xml"/><Relationship Id="rId108" Type="http://schemas.openxmlformats.org/officeDocument/2006/relationships/ctrlProp" Target="../ctrlProps/ctrlProp976.xml"/><Relationship Id="rId124" Type="http://schemas.openxmlformats.org/officeDocument/2006/relationships/ctrlProp" Target="../ctrlProps/ctrlProp992.xml"/><Relationship Id="rId54" Type="http://schemas.openxmlformats.org/officeDocument/2006/relationships/ctrlProp" Target="../ctrlProps/ctrlProp922.xml"/><Relationship Id="rId70" Type="http://schemas.openxmlformats.org/officeDocument/2006/relationships/ctrlProp" Target="../ctrlProps/ctrlProp938.xml"/><Relationship Id="rId75" Type="http://schemas.openxmlformats.org/officeDocument/2006/relationships/ctrlProp" Target="../ctrlProps/ctrlProp943.xml"/><Relationship Id="rId91" Type="http://schemas.openxmlformats.org/officeDocument/2006/relationships/ctrlProp" Target="../ctrlProps/ctrlProp959.xml"/><Relationship Id="rId96" Type="http://schemas.openxmlformats.org/officeDocument/2006/relationships/ctrlProp" Target="../ctrlProps/ctrlProp964.xml"/><Relationship Id="rId1" Type="http://schemas.openxmlformats.org/officeDocument/2006/relationships/printerSettings" Target="../printerSettings/printerSettings60.bin"/><Relationship Id="rId6" Type="http://schemas.openxmlformats.org/officeDocument/2006/relationships/ctrlProp" Target="../ctrlProps/ctrlProp874.xml"/><Relationship Id="rId23" Type="http://schemas.openxmlformats.org/officeDocument/2006/relationships/ctrlProp" Target="../ctrlProps/ctrlProp891.xml"/><Relationship Id="rId28" Type="http://schemas.openxmlformats.org/officeDocument/2006/relationships/ctrlProp" Target="../ctrlProps/ctrlProp896.xml"/><Relationship Id="rId49" Type="http://schemas.openxmlformats.org/officeDocument/2006/relationships/ctrlProp" Target="../ctrlProps/ctrlProp917.xml"/><Relationship Id="rId114" Type="http://schemas.openxmlformats.org/officeDocument/2006/relationships/ctrlProp" Target="../ctrlProps/ctrlProp982.xml"/><Relationship Id="rId119" Type="http://schemas.openxmlformats.org/officeDocument/2006/relationships/ctrlProp" Target="../ctrlProps/ctrlProp987.xml"/><Relationship Id="rId44" Type="http://schemas.openxmlformats.org/officeDocument/2006/relationships/ctrlProp" Target="../ctrlProps/ctrlProp912.xml"/><Relationship Id="rId60" Type="http://schemas.openxmlformats.org/officeDocument/2006/relationships/ctrlProp" Target="../ctrlProps/ctrlProp928.xml"/><Relationship Id="rId65" Type="http://schemas.openxmlformats.org/officeDocument/2006/relationships/ctrlProp" Target="../ctrlProps/ctrlProp933.xml"/><Relationship Id="rId81" Type="http://schemas.openxmlformats.org/officeDocument/2006/relationships/ctrlProp" Target="../ctrlProps/ctrlProp949.xml"/><Relationship Id="rId86" Type="http://schemas.openxmlformats.org/officeDocument/2006/relationships/ctrlProp" Target="../ctrlProps/ctrlProp954.xml"/><Relationship Id="rId4" Type="http://schemas.openxmlformats.org/officeDocument/2006/relationships/ctrlProp" Target="../ctrlProps/ctrlProp872.xml"/><Relationship Id="rId9" Type="http://schemas.openxmlformats.org/officeDocument/2006/relationships/ctrlProp" Target="../ctrlProps/ctrlProp877.xml"/><Relationship Id="rId13" Type="http://schemas.openxmlformats.org/officeDocument/2006/relationships/ctrlProp" Target="../ctrlProps/ctrlProp881.xml"/><Relationship Id="rId18" Type="http://schemas.openxmlformats.org/officeDocument/2006/relationships/ctrlProp" Target="../ctrlProps/ctrlProp886.xml"/><Relationship Id="rId39" Type="http://schemas.openxmlformats.org/officeDocument/2006/relationships/ctrlProp" Target="../ctrlProps/ctrlProp907.xml"/><Relationship Id="rId109" Type="http://schemas.openxmlformats.org/officeDocument/2006/relationships/ctrlProp" Target="../ctrlProps/ctrlProp977.xml"/><Relationship Id="rId34" Type="http://schemas.openxmlformats.org/officeDocument/2006/relationships/ctrlProp" Target="../ctrlProps/ctrlProp902.xml"/><Relationship Id="rId50" Type="http://schemas.openxmlformats.org/officeDocument/2006/relationships/ctrlProp" Target="../ctrlProps/ctrlProp918.xml"/><Relationship Id="rId55" Type="http://schemas.openxmlformats.org/officeDocument/2006/relationships/ctrlProp" Target="../ctrlProps/ctrlProp923.xml"/><Relationship Id="rId76" Type="http://schemas.openxmlformats.org/officeDocument/2006/relationships/ctrlProp" Target="../ctrlProps/ctrlProp944.xml"/><Relationship Id="rId97" Type="http://schemas.openxmlformats.org/officeDocument/2006/relationships/ctrlProp" Target="../ctrlProps/ctrlProp965.xml"/><Relationship Id="rId104" Type="http://schemas.openxmlformats.org/officeDocument/2006/relationships/ctrlProp" Target="../ctrlProps/ctrlProp972.xml"/><Relationship Id="rId120" Type="http://schemas.openxmlformats.org/officeDocument/2006/relationships/ctrlProp" Target="../ctrlProps/ctrlProp988.xml"/><Relationship Id="rId7" Type="http://schemas.openxmlformats.org/officeDocument/2006/relationships/ctrlProp" Target="../ctrlProps/ctrlProp875.xml"/><Relationship Id="rId71" Type="http://schemas.openxmlformats.org/officeDocument/2006/relationships/ctrlProp" Target="../ctrlProps/ctrlProp939.xml"/><Relationship Id="rId92" Type="http://schemas.openxmlformats.org/officeDocument/2006/relationships/ctrlProp" Target="../ctrlProps/ctrlProp96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97.xml"/><Relationship Id="rId24" Type="http://schemas.openxmlformats.org/officeDocument/2006/relationships/ctrlProp" Target="../ctrlProps/ctrlProp892.xml"/><Relationship Id="rId40" Type="http://schemas.openxmlformats.org/officeDocument/2006/relationships/ctrlProp" Target="../ctrlProps/ctrlProp908.xml"/><Relationship Id="rId45" Type="http://schemas.openxmlformats.org/officeDocument/2006/relationships/ctrlProp" Target="../ctrlProps/ctrlProp913.xml"/><Relationship Id="rId66" Type="http://schemas.openxmlformats.org/officeDocument/2006/relationships/ctrlProp" Target="../ctrlProps/ctrlProp934.xml"/><Relationship Id="rId87" Type="http://schemas.openxmlformats.org/officeDocument/2006/relationships/ctrlProp" Target="../ctrlProps/ctrlProp955.xml"/><Relationship Id="rId110" Type="http://schemas.openxmlformats.org/officeDocument/2006/relationships/ctrlProp" Target="../ctrlProps/ctrlProp978.xml"/><Relationship Id="rId115" Type="http://schemas.openxmlformats.org/officeDocument/2006/relationships/ctrlProp" Target="../ctrlProps/ctrlProp983.xml"/><Relationship Id="rId61" Type="http://schemas.openxmlformats.org/officeDocument/2006/relationships/ctrlProp" Target="../ctrlProps/ctrlProp929.xml"/><Relationship Id="rId82" Type="http://schemas.openxmlformats.org/officeDocument/2006/relationships/ctrlProp" Target="../ctrlProps/ctrlProp950.xml"/><Relationship Id="rId19" Type="http://schemas.openxmlformats.org/officeDocument/2006/relationships/ctrlProp" Target="../ctrlProps/ctrlProp887.xml"/><Relationship Id="rId14" Type="http://schemas.openxmlformats.org/officeDocument/2006/relationships/ctrlProp" Target="../ctrlProps/ctrlProp882.xml"/><Relationship Id="rId30" Type="http://schemas.openxmlformats.org/officeDocument/2006/relationships/ctrlProp" Target="../ctrlProps/ctrlProp898.xml"/><Relationship Id="rId35" Type="http://schemas.openxmlformats.org/officeDocument/2006/relationships/ctrlProp" Target="../ctrlProps/ctrlProp903.xml"/><Relationship Id="rId56" Type="http://schemas.openxmlformats.org/officeDocument/2006/relationships/ctrlProp" Target="../ctrlProps/ctrlProp924.xml"/><Relationship Id="rId77" Type="http://schemas.openxmlformats.org/officeDocument/2006/relationships/ctrlProp" Target="../ctrlProps/ctrlProp945.xml"/><Relationship Id="rId100" Type="http://schemas.openxmlformats.org/officeDocument/2006/relationships/ctrlProp" Target="../ctrlProps/ctrlProp968.xml"/><Relationship Id="rId105" Type="http://schemas.openxmlformats.org/officeDocument/2006/relationships/ctrlProp" Target="../ctrlProps/ctrlProp973.xml"/><Relationship Id="rId8" Type="http://schemas.openxmlformats.org/officeDocument/2006/relationships/ctrlProp" Target="../ctrlProps/ctrlProp876.xml"/><Relationship Id="rId51" Type="http://schemas.openxmlformats.org/officeDocument/2006/relationships/ctrlProp" Target="../ctrlProps/ctrlProp919.xml"/><Relationship Id="rId72" Type="http://schemas.openxmlformats.org/officeDocument/2006/relationships/ctrlProp" Target="../ctrlProps/ctrlProp940.xml"/><Relationship Id="rId93" Type="http://schemas.openxmlformats.org/officeDocument/2006/relationships/ctrlProp" Target="../ctrlProps/ctrlProp961.xml"/><Relationship Id="rId98" Type="http://schemas.openxmlformats.org/officeDocument/2006/relationships/ctrlProp" Target="../ctrlProps/ctrlProp966.xml"/><Relationship Id="rId121" Type="http://schemas.openxmlformats.org/officeDocument/2006/relationships/ctrlProp" Target="../ctrlProps/ctrlProp989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93.xml"/><Relationship Id="rId46" Type="http://schemas.openxmlformats.org/officeDocument/2006/relationships/ctrlProp" Target="../ctrlProps/ctrlProp914.xml"/><Relationship Id="rId67" Type="http://schemas.openxmlformats.org/officeDocument/2006/relationships/ctrlProp" Target="../ctrlProps/ctrlProp935.xml"/><Relationship Id="rId116" Type="http://schemas.openxmlformats.org/officeDocument/2006/relationships/ctrlProp" Target="../ctrlProps/ctrlProp984.xml"/><Relationship Id="rId20" Type="http://schemas.openxmlformats.org/officeDocument/2006/relationships/ctrlProp" Target="../ctrlProps/ctrlProp888.xml"/><Relationship Id="rId41" Type="http://schemas.openxmlformats.org/officeDocument/2006/relationships/ctrlProp" Target="../ctrlProps/ctrlProp909.xml"/><Relationship Id="rId62" Type="http://schemas.openxmlformats.org/officeDocument/2006/relationships/ctrlProp" Target="../ctrlProps/ctrlProp930.xml"/><Relationship Id="rId83" Type="http://schemas.openxmlformats.org/officeDocument/2006/relationships/ctrlProp" Target="../ctrlProps/ctrlProp951.xml"/><Relationship Id="rId88" Type="http://schemas.openxmlformats.org/officeDocument/2006/relationships/ctrlProp" Target="../ctrlProps/ctrlProp956.xml"/><Relationship Id="rId111" Type="http://schemas.openxmlformats.org/officeDocument/2006/relationships/ctrlProp" Target="../ctrlProps/ctrlProp979.xml"/><Relationship Id="rId15" Type="http://schemas.openxmlformats.org/officeDocument/2006/relationships/ctrlProp" Target="../ctrlProps/ctrlProp883.xml"/><Relationship Id="rId36" Type="http://schemas.openxmlformats.org/officeDocument/2006/relationships/ctrlProp" Target="../ctrlProps/ctrlProp904.xml"/><Relationship Id="rId57" Type="http://schemas.openxmlformats.org/officeDocument/2006/relationships/ctrlProp" Target="../ctrlProps/ctrlProp925.xml"/><Relationship Id="rId106" Type="http://schemas.openxmlformats.org/officeDocument/2006/relationships/ctrlProp" Target="../ctrlProps/ctrlProp974.xml"/><Relationship Id="rId10" Type="http://schemas.openxmlformats.org/officeDocument/2006/relationships/ctrlProp" Target="../ctrlProps/ctrlProp878.xml"/><Relationship Id="rId31" Type="http://schemas.openxmlformats.org/officeDocument/2006/relationships/ctrlProp" Target="../ctrlProps/ctrlProp899.xml"/><Relationship Id="rId52" Type="http://schemas.openxmlformats.org/officeDocument/2006/relationships/ctrlProp" Target="../ctrlProps/ctrlProp920.xml"/><Relationship Id="rId73" Type="http://schemas.openxmlformats.org/officeDocument/2006/relationships/ctrlProp" Target="../ctrlProps/ctrlProp941.xml"/><Relationship Id="rId78" Type="http://schemas.openxmlformats.org/officeDocument/2006/relationships/ctrlProp" Target="../ctrlProps/ctrlProp946.xml"/><Relationship Id="rId94" Type="http://schemas.openxmlformats.org/officeDocument/2006/relationships/ctrlProp" Target="../ctrlProps/ctrlProp962.xml"/><Relationship Id="rId99" Type="http://schemas.openxmlformats.org/officeDocument/2006/relationships/ctrlProp" Target="../ctrlProps/ctrlProp967.xml"/><Relationship Id="rId101" Type="http://schemas.openxmlformats.org/officeDocument/2006/relationships/ctrlProp" Target="../ctrlProps/ctrlProp969.xml"/><Relationship Id="rId122" Type="http://schemas.openxmlformats.org/officeDocument/2006/relationships/ctrlProp" Target="../ctrlProps/ctrlProp990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06.xml"/><Relationship Id="rId21" Type="http://schemas.openxmlformats.org/officeDocument/2006/relationships/ctrlProp" Target="../ctrlProps/ctrlProp1010.xml"/><Relationship Id="rId63" Type="http://schemas.openxmlformats.org/officeDocument/2006/relationships/ctrlProp" Target="../ctrlProps/ctrlProp1052.xml"/><Relationship Id="rId159" Type="http://schemas.openxmlformats.org/officeDocument/2006/relationships/ctrlProp" Target="../ctrlProps/ctrlProp1148.xml"/><Relationship Id="rId170" Type="http://schemas.openxmlformats.org/officeDocument/2006/relationships/ctrlProp" Target="../ctrlProps/ctrlProp1159.xml"/><Relationship Id="rId226" Type="http://schemas.openxmlformats.org/officeDocument/2006/relationships/ctrlProp" Target="../ctrlProps/ctrlProp1215.xml"/><Relationship Id="rId268" Type="http://schemas.openxmlformats.org/officeDocument/2006/relationships/ctrlProp" Target="../ctrlProps/ctrlProp1257.xml"/><Relationship Id="rId32" Type="http://schemas.openxmlformats.org/officeDocument/2006/relationships/ctrlProp" Target="../ctrlProps/ctrlProp1021.xml"/><Relationship Id="rId74" Type="http://schemas.openxmlformats.org/officeDocument/2006/relationships/ctrlProp" Target="../ctrlProps/ctrlProp1063.xml"/><Relationship Id="rId128" Type="http://schemas.openxmlformats.org/officeDocument/2006/relationships/ctrlProp" Target="../ctrlProps/ctrlProp1117.xml"/><Relationship Id="rId5" Type="http://schemas.openxmlformats.org/officeDocument/2006/relationships/ctrlProp" Target="../ctrlProps/ctrlProp994.xml"/><Relationship Id="rId181" Type="http://schemas.openxmlformats.org/officeDocument/2006/relationships/ctrlProp" Target="../ctrlProps/ctrlProp1170.xml"/><Relationship Id="rId237" Type="http://schemas.openxmlformats.org/officeDocument/2006/relationships/ctrlProp" Target="../ctrlProps/ctrlProp1226.xml"/><Relationship Id="rId279" Type="http://schemas.openxmlformats.org/officeDocument/2006/relationships/ctrlProp" Target="../ctrlProps/ctrlProp1268.xml"/><Relationship Id="rId22" Type="http://schemas.openxmlformats.org/officeDocument/2006/relationships/ctrlProp" Target="../ctrlProps/ctrlProp1011.xml"/><Relationship Id="rId43" Type="http://schemas.openxmlformats.org/officeDocument/2006/relationships/ctrlProp" Target="../ctrlProps/ctrlProp1032.xml"/><Relationship Id="rId64" Type="http://schemas.openxmlformats.org/officeDocument/2006/relationships/ctrlProp" Target="../ctrlProps/ctrlProp1053.xml"/><Relationship Id="rId118" Type="http://schemas.openxmlformats.org/officeDocument/2006/relationships/ctrlProp" Target="../ctrlProps/ctrlProp1107.xml"/><Relationship Id="rId139" Type="http://schemas.openxmlformats.org/officeDocument/2006/relationships/ctrlProp" Target="../ctrlProps/ctrlProp1128.xml"/><Relationship Id="rId85" Type="http://schemas.openxmlformats.org/officeDocument/2006/relationships/ctrlProp" Target="../ctrlProps/ctrlProp1074.xml"/><Relationship Id="rId150" Type="http://schemas.openxmlformats.org/officeDocument/2006/relationships/ctrlProp" Target="../ctrlProps/ctrlProp1139.xml"/><Relationship Id="rId171" Type="http://schemas.openxmlformats.org/officeDocument/2006/relationships/ctrlProp" Target="../ctrlProps/ctrlProp1160.xml"/><Relationship Id="rId192" Type="http://schemas.openxmlformats.org/officeDocument/2006/relationships/ctrlProp" Target="../ctrlProps/ctrlProp1181.xml"/><Relationship Id="rId206" Type="http://schemas.openxmlformats.org/officeDocument/2006/relationships/ctrlProp" Target="../ctrlProps/ctrlProp1195.xml"/><Relationship Id="rId227" Type="http://schemas.openxmlformats.org/officeDocument/2006/relationships/ctrlProp" Target="../ctrlProps/ctrlProp1216.xml"/><Relationship Id="rId248" Type="http://schemas.openxmlformats.org/officeDocument/2006/relationships/ctrlProp" Target="../ctrlProps/ctrlProp1237.xml"/><Relationship Id="rId269" Type="http://schemas.openxmlformats.org/officeDocument/2006/relationships/ctrlProp" Target="../ctrlProps/ctrlProp1258.xml"/><Relationship Id="rId12" Type="http://schemas.openxmlformats.org/officeDocument/2006/relationships/ctrlProp" Target="../ctrlProps/ctrlProp1001.xml"/><Relationship Id="rId33" Type="http://schemas.openxmlformats.org/officeDocument/2006/relationships/ctrlProp" Target="../ctrlProps/ctrlProp1022.xml"/><Relationship Id="rId108" Type="http://schemas.openxmlformats.org/officeDocument/2006/relationships/ctrlProp" Target="../ctrlProps/ctrlProp1097.xml"/><Relationship Id="rId129" Type="http://schemas.openxmlformats.org/officeDocument/2006/relationships/ctrlProp" Target="../ctrlProps/ctrlProp1118.xml"/><Relationship Id="rId280" Type="http://schemas.openxmlformats.org/officeDocument/2006/relationships/ctrlProp" Target="../ctrlProps/ctrlProp1269.xml"/><Relationship Id="rId54" Type="http://schemas.openxmlformats.org/officeDocument/2006/relationships/ctrlProp" Target="../ctrlProps/ctrlProp1043.xml"/><Relationship Id="rId75" Type="http://schemas.openxmlformats.org/officeDocument/2006/relationships/ctrlProp" Target="../ctrlProps/ctrlProp1064.xml"/><Relationship Id="rId96" Type="http://schemas.openxmlformats.org/officeDocument/2006/relationships/ctrlProp" Target="../ctrlProps/ctrlProp1085.xml"/><Relationship Id="rId140" Type="http://schemas.openxmlformats.org/officeDocument/2006/relationships/ctrlProp" Target="../ctrlProps/ctrlProp1129.xml"/><Relationship Id="rId161" Type="http://schemas.openxmlformats.org/officeDocument/2006/relationships/ctrlProp" Target="../ctrlProps/ctrlProp1150.xml"/><Relationship Id="rId182" Type="http://schemas.openxmlformats.org/officeDocument/2006/relationships/ctrlProp" Target="../ctrlProps/ctrlProp1171.xml"/><Relationship Id="rId217" Type="http://schemas.openxmlformats.org/officeDocument/2006/relationships/ctrlProp" Target="../ctrlProps/ctrlProp1206.xml"/><Relationship Id="rId6" Type="http://schemas.openxmlformats.org/officeDocument/2006/relationships/ctrlProp" Target="../ctrlProps/ctrlProp995.xml"/><Relationship Id="rId238" Type="http://schemas.openxmlformats.org/officeDocument/2006/relationships/ctrlProp" Target="../ctrlProps/ctrlProp1227.xml"/><Relationship Id="rId259" Type="http://schemas.openxmlformats.org/officeDocument/2006/relationships/ctrlProp" Target="../ctrlProps/ctrlProp1248.xml"/><Relationship Id="rId23" Type="http://schemas.openxmlformats.org/officeDocument/2006/relationships/ctrlProp" Target="../ctrlProps/ctrlProp1012.xml"/><Relationship Id="rId119" Type="http://schemas.openxmlformats.org/officeDocument/2006/relationships/ctrlProp" Target="../ctrlProps/ctrlProp1108.xml"/><Relationship Id="rId270" Type="http://schemas.openxmlformats.org/officeDocument/2006/relationships/ctrlProp" Target="../ctrlProps/ctrlProp1259.xml"/><Relationship Id="rId44" Type="http://schemas.openxmlformats.org/officeDocument/2006/relationships/ctrlProp" Target="../ctrlProps/ctrlProp1033.xml"/><Relationship Id="rId65" Type="http://schemas.openxmlformats.org/officeDocument/2006/relationships/ctrlProp" Target="../ctrlProps/ctrlProp1054.xml"/><Relationship Id="rId86" Type="http://schemas.openxmlformats.org/officeDocument/2006/relationships/ctrlProp" Target="../ctrlProps/ctrlProp1075.xml"/><Relationship Id="rId130" Type="http://schemas.openxmlformats.org/officeDocument/2006/relationships/ctrlProp" Target="../ctrlProps/ctrlProp1119.xml"/><Relationship Id="rId151" Type="http://schemas.openxmlformats.org/officeDocument/2006/relationships/ctrlProp" Target="../ctrlProps/ctrlProp1140.xml"/><Relationship Id="rId172" Type="http://schemas.openxmlformats.org/officeDocument/2006/relationships/ctrlProp" Target="../ctrlProps/ctrlProp1161.xml"/><Relationship Id="rId193" Type="http://schemas.openxmlformats.org/officeDocument/2006/relationships/ctrlProp" Target="../ctrlProps/ctrlProp1182.xml"/><Relationship Id="rId207" Type="http://schemas.openxmlformats.org/officeDocument/2006/relationships/ctrlProp" Target="../ctrlProps/ctrlProp1196.xml"/><Relationship Id="rId228" Type="http://schemas.openxmlformats.org/officeDocument/2006/relationships/ctrlProp" Target="../ctrlProps/ctrlProp1217.xml"/><Relationship Id="rId249" Type="http://schemas.openxmlformats.org/officeDocument/2006/relationships/ctrlProp" Target="../ctrlProps/ctrlProp1238.xml"/><Relationship Id="rId13" Type="http://schemas.openxmlformats.org/officeDocument/2006/relationships/ctrlProp" Target="../ctrlProps/ctrlProp1002.xml"/><Relationship Id="rId109" Type="http://schemas.openxmlformats.org/officeDocument/2006/relationships/ctrlProp" Target="../ctrlProps/ctrlProp1098.xml"/><Relationship Id="rId260" Type="http://schemas.openxmlformats.org/officeDocument/2006/relationships/ctrlProp" Target="../ctrlProps/ctrlProp1249.xml"/><Relationship Id="rId281" Type="http://schemas.openxmlformats.org/officeDocument/2006/relationships/ctrlProp" Target="../ctrlProps/ctrlProp1270.xml"/><Relationship Id="rId34" Type="http://schemas.openxmlformats.org/officeDocument/2006/relationships/ctrlProp" Target="../ctrlProps/ctrlProp1023.xml"/><Relationship Id="rId55" Type="http://schemas.openxmlformats.org/officeDocument/2006/relationships/ctrlProp" Target="../ctrlProps/ctrlProp1044.xml"/><Relationship Id="rId76" Type="http://schemas.openxmlformats.org/officeDocument/2006/relationships/ctrlProp" Target="../ctrlProps/ctrlProp1065.xml"/><Relationship Id="rId97" Type="http://schemas.openxmlformats.org/officeDocument/2006/relationships/ctrlProp" Target="../ctrlProps/ctrlProp1086.xml"/><Relationship Id="rId120" Type="http://schemas.openxmlformats.org/officeDocument/2006/relationships/ctrlProp" Target="../ctrlProps/ctrlProp1109.xml"/><Relationship Id="rId141" Type="http://schemas.openxmlformats.org/officeDocument/2006/relationships/ctrlProp" Target="../ctrlProps/ctrlProp1130.xml"/><Relationship Id="rId7" Type="http://schemas.openxmlformats.org/officeDocument/2006/relationships/ctrlProp" Target="../ctrlProps/ctrlProp996.xml"/><Relationship Id="rId162" Type="http://schemas.openxmlformats.org/officeDocument/2006/relationships/ctrlProp" Target="../ctrlProps/ctrlProp1151.xml"/><Relationship Id="rId183" Type="http://schemas.openxmlformats.org/officeDocument/2006/relationships/ctrlProp" Target="../ctrlProps/ctrlProp1172.xml"/><Relationship Id="rId218" Type="http://schemas.openxmlformats.org/officeDocument/2006/relationships/ctrlProp" Target="../ctrlProps/ctrlProp1207.xml"/><Relationship Id="rId239" Type="http://schemas.openxmlformats.org/officeDocument/2006/relationships/ctrlProp" Target="../ctrlProps/ctrlProp1228.xml"/><Relationship Id="rId250" Type="http://schemas.openxmlformats.org/officeDocument/2006/relationships/ctrlProp" Target="../ctrlProps/ctrlProp1239.xml"/><Relationship Id="rId271" Type="http://schemas.openxmlformats.org/officeDocument/2006/relationships/ctrlProp" Target="../ctrlProps/ctrlProp1260.xml"/><Relationship Id="rId24" Type="http://schemas.openxmlformats.org/officeDocument/2006/relationships/ctrlProp" Target="../ctrlProps/ctrlProp1013.xml"/><Relationship Id="rId45" Type="http://schemas.openxmlformats.org/officeDocument/2006/relationships/ctrlProp" Target="../ctrlProps/ctrlProp1034.xml"/><Relationship Id="rId66" Type="http://schemas.openxmlformats.org/officeDocument/2006/relationships/ctrlProp" Target="../ctrlProps/ctrlProp1055.xml"/><Relationship Id="rId87" Type="http://schemas.openxmlformats.org/officeDocument/2006/relationships/ctrlProp" Target="../ctrlProps/ctrlProp1076.xml"/><Relationship Id="rId110" Type="http://schemas.openxmlformats.org/officeDocument/2006/relationships/ctrlProp" Target="../ctrlProps/ctrlProp1099.xml"/><Relationship Id="rId131" Type="http://schemas.openxmlformats.org/officeDocument/2006/relationships/ctrlProp" Target="../ctrlProps/ctrlProp1120.xml"/><Relationship Id="rId152" Type="http://schemas.openxmlformats.org/officeDocument/2006/relationships/ctrlProp" Target="../ctrlProps/ctrlProp1141.xml"/><Relationship Id="rId173" Type="http://schemas.openxmlformats.org/officeDocument/2006/relationships/ctrlProp" Target="../ctrlProps/ctrlProp1162.xml"/><Relationship Id="rId194" Type="http://schemas.openxmlformats.org/officeDocument/2006/relationships/ctrlProp" Target="../ctrlProps/ctrlProp1183.xml"/><Relationship Id="rId208" Type="http://schemas.openxmlformats.org/officeDocument/2006/relationships/ctrlProp" Target="../ctrlProps/ctrlProp1197.xml"/><Relationship Id="rId229" Type="http://schemas.openxmlformats.org/officeDocument/2006/relationships/ctrlProp" Target="../ctrlProps/ctrlProp1218.xml"/><Relationship Id="rId240" Type="http://schemas.openxmlformats.org/officeDocument/2006/relationships/ctrlProp" Target="../ctrlProps/ctrlProp1229.xml"/><Relationship Id="rId261" Type="http://schemas.openxmlformats.org/officeDocument/2006/relationships/ctrlProp" Target="../ctrlProps/ctrlProp1250.xml"/><Relationship Id="rId14" Type="http://schemas.openxmlformats.org/officeDocument/2006/relationships/ctrlProp" Target="../ctrlProps/ctrlProp1003.xml"/><Relationship Id="rId35" Type="http://schemas.openxmlformats.org/officeDocument/2006/relationships/ctrlProp" Target="../ctrlProps/ctrlProp1024.xml"/><Relationship Id="rId56" Type="http://schemas.openxmlformats.org/officeDocument/2006/relationships/ctrlProp" Target="../ctrlProps/ctrlProp1045.xml"/><Relationship Id="rId77" Type="http://schemas.openxmlformats.org/officeDocument/2006/relationships/ctrlProp" Target="../ctrlProps/ctrlProp1066.xml"/><Relationship Id="rId100" Type="http://schemas.openxmlformats.org/officeDocument/2006/relationships/ctrlProp" Target="../ctrlProps/ctrlProp1089.xml"/><Relationship Id="rId282" Type="http://schemas.openxmlformats.org/officeDocument/2006/relationships/ctrlProp" Target="../ctrlProps/ctrlProp1271.xml"/><Relationship Id="rId8" Type="http://schemas.openxmlformats.org/officeDocument/2006/relationships/ctrlProp" Target="../ctrlProps/ctrlProp997.xml"/><Relationship Id="rId98" Type="http://schemas.openxmlformats.org/officeDocument/2006/relationships/ctrlProp" Target="../ctrlProps/ctrlProp1087.xml"/><Relationship Id="rId121" Type="http://schemas.openxmlformats.org/officeDocument/2006/relationships/ctrlProp" Target="../ctrlProps/ctrlProp1110.xml"/><Relationship Id="rId142" Type="http://schemas.openxmlformats.org/officeDocument/2006/relationships/ctrlProp" Target="../ctrlProps/ctrlProp1131.xml"/><Relationship Id="rId163" Type="http://schemas.openxmlformats.org/officeDocument/2006/relationships/ctrlProp" Target="../ctrlProps/ctrlProp1152.xml"/><Relationship Id="rId184" Type="http://schemas.openxmlformats.org/officeDocument/2006/relationships/ctrlProp" Target="../ctrlProps/ctrlProp1173.xml"/><Relationship Id="rId219" Type="http://schemas.openxmlformats.org/officeDocument/2006/relationships/ctrlProp" Target="../ctrlProps/ctrlProp1208.xml"/><Relationship Id="rId230" Type="http://schemas.openxmlformats.org/officeDocument/2006/relationships/ctrlProp" Target="../ctrlProps/ctrlProp1219.xml"/><Relationship Id="rId251" Type="http://schemas.openxmlformats.org/officeDocument/2006/relationships/ctrlProp" Target="../ctrlProps/ctrlProp1240.xml"/><Relationship Id="rId25" Type="http://schemas.openxmlformats.org/officeDocument/2006/relationships/ctrlProp" Target="../ctrlProps/ctrlProp1014.xml"/><Relationship Id="rId46" Type="http://schemas.openxmlformats.org/officeDocument/2006/relationships/ctrlProp" Target="../ctrlProps/ctrlProp1035.xml"/><Relationship Id="rId67" Type="http://schemas.openxmlformats.org/officeDocument/2006/relationships/ctrlProp" Target="../ctrlProps/ctrlProp1056.xml"/><Relationship Id="rId272" Type="http://schemas.openxmlformats.org/officeDocument/2006/relationships/ctrlProp" Target="../ctrlProps/ctrlProp1261.xml"/><Relationship Id="rId88" Type="http://schemas.openxmlformats.org/officeDocument/2006/relationships/ctrlProp" Target="../ctrlProps/ctrlProp1077.xml"/><Relationship Id="rId111" Type="http://schemas.openxmlformats.org/officeDocument/2006/relationships/ctrlProp" Target="../ctrlProps/ctrlProp1100.xml"/><Relationship Id="rId132" Type="http://schemas.openxmlformats.org/officeDocument/2006/relationships/ctrlProp" Target="../ctrlProps/ctrlProp1121.xml"/><Relationship Id="rId153" Type="http://schemas.openxmlformats.org/officeDocument/2006/relationships/ctrlProp" Target="../ctrlProps/ctrlProp1142.xml"/><Relationship Id="rId174" Type="http://schemas.openxmlformats.org/officeDocument/2006/relationships/ctrlProp" Target="../ctrlProps/ctrlProp1163.xml"/><Relationship Id="rId195" Type="http://schemas.openxmlformats.org/officeDocument/2006/relationships/ctrlProp" Target="../ctrlProps/ctrlProp1184.xml"/><Relationship Id="rId209" Type="http://schemas.openxmlformats.org/officeDocument/2006/relationships/ctrlProp" Target="../ctrlProps/ctrlProp1198.xml"/><Relationship Id="rId220" Type="http://schemas.openxmlformats.org/officeDocument/2006/relationships/ctrlProp" Target="../ctrlProps/ctrlProp1209.xml"/><Relationship Id="rId241" Type="http://schemas.openxmlformats.org/officeDocument/2006/relationships/ctrlProp" Target="../ctrlProps/ctrlProp1230.xml"/><Relationship Id="rId15" Type="http://schemas.openxmlformats.org/officeDocument/2006/relationships/ctrlProp" Target="../ctrlProps/ctrlProp1004.xml"/><Relationship Id="rId36" Type="http://schemas.openxmlformats.org/officeDocument/2006/relationships/ctrlProp" Target="../ctrlProps/ctrlProp1025.xml"/><Relationship Id="rId57" Type="http://schemas.openxmlformats.org/officeDocument/2006/relationships/ctrlProp" Target="../ctrlProps/ctrlProp1046.xml"/><Relationship Id="rId262" Type="http://schemas.openxmlformats.org/officeDocument/2006/relationships/ctrlProp" Target="../ctrlProps/ctrlProp1251.xml"/><Relationship Id="rId283" Type="http://schemas.openxmlformats.org/officeDocument/2006/relationships/ctrlProp" Target="../ctrlProps/ctrlProp1272.xml"/><Relationship Id="rId78" Type="http://schemas.openxmlformats.org/officeDocument/2006/relationships/ctrlProp" Target="../ctrlProps/ctrlProp1067.xml"/><Relationship Id="rId99" Type="http://schemas.openxmlformats.org/officeDocument/2006/relationships/ctrlProp" Target="../ctrlProps/ctrlProp1088.xml"/><Relationship Id="rId101" Type="http://schemas.openxmlformats.org/officeDocument/2006/relationships/ctrlProp" Target="../ctrlProps/ctrlProp1090.xml"/><Relationship Id="rId122" Type="http://schemas.openxmlformats.org/officeDocument/2006/relationships/ctrlProp" Target="../ctrlProps/ctrlProp1111.xml"/><Relationship Id="rId143" Type="http://schemas.openxmlformats.org/officeDocument/2006/relationships/ctrlProp" Target="../ctrlProps/ctrlProp1132.xml"/><Relationship Id="rId164" Type="http://schemas.openxmlformats.org/officeDocument/2006/relationships/ctrlProp" Target="../ctrlProps/ctrlProp1153.xml"/><Relationship Id="rId185" Type="http://schemas.openxmlformats.org/officeDocument/2006/relationships/ctrlProp" Target="../ctrlProps/ctrlProp1174.xml"/><Relationship Id="rId9" Type="http://schemas.openxmlformats.org/officeDocument/2006/relationships/ctrlProp" Target="../ctrlProps/ctrlProp998.xml"/><Relationship Id="rId210" Type="http://schemas.openxmlformats.org/officeDocument/2006/relationships/ctrlProp" Target="../ctrlProps/ctrlProp1199.xml"/><Relationship Id="rId26" Type="http://schemas.openxmlformats.org/officeDocument/2006/relationships/ctrlProp" Target="../ctrlProps/ctrlProp1015.xml"/><Relationship Id="rId231" Type="http://schemas.openxmlformats.org/officeDocument/2006/relationships/ctrlProp" Target="../ctrlProps/ctrlProp1220.xml"/><Relationship Id="rId252" Type="http://schemas.openxmlformats.org/officeDocument/2006/relationships/ctrlProp" Target="../ctrlProps/ctrlProp1241.xml"/><Relationship Id="rId273" Type="http://schemas.openxmlformats.org/officeDocument/2006/relationships/ctrlProp" Target="../ctrlProps/ctrlProp1262.xml"/><Relationship Id="rId47" Type="http://schemas.openxmlformats.org/officeDocument/2006/relationships/ctrlProp" Target="../ctrlProps/ctrlProp1036.xml"/><Relationship Id="rId68" Type="http://schemas.openxmlformats.org/officeDocument/2006/relationships/ctrlProp" Target="../ctrlProps/ctrlProp1057.xml"/><Relationship Id="rId89" Type="http://schemas.openxmlformats.org/officeDocument/2006/relationships/ctrlProp" Target="../ctrlProps/ctrlProp1078.xml"/><Relationship Id="rId112" Type="http://schemas.openxmlformats.org/officeDocument/2006/relationships/ctrlProp" Target="../ctrlProps/ctrlProp1101.xml"/><Relationship Id="rId133" Type="http://schemas.openxmlformats.org/officeDocument/2006/relationships/ctrlProp" Target="../ctrlProps/ctrlProp1122.xml"/><Relationship Id="rId154" Type="http://schemas.openxmlformats.org/officeDocument/2006/relationships/ctrlProp" Target="../ctrlProps/ctrlProp1143.xml"/><Relationship Id="rId175" Type="http://schemas.openxmlformats.org/officeDocument/2006/relationships/ctrlProp" Target="../ctrlProps/ctrlProp1164.xml"/><Relationship Id="rId196" Type="http://schemas.openxmlformats.org/officeDocument/2006/relationships/ctrlProp" Target="../ctrlProps/ctrlProp1185.xml"/><Relationship Id="rId200" Type="http://schemas.openxmlformats.org/officeDocument/2006/relationships/ctrlProp" Target="../ctrlProps/ctrlProp1189.xml"/><Relationship Id="rId16" Type="http://schemas.openxmlformats.org/officeDocument/2006/relationships/ctrlProp" Target="../ctrlProps/ctrlProp1005.xml"/><Relationship Id="rId221" Type="http://schemas.openxmlformats.org/officeDocument/2006/relationships/ctrlProp" Target="../ctrlProps/ctrlProp1210.xml"/><Relationship Id="rId242" Type="http://schemas.openxmlformats.org/officeDocument/2006/relationships/ctrlProp" Target="../ctrlProps/ctrlProp1231.xml"/><Relationship Id="rId263" Type="http://schemas.openxmlformats.org/officeDocument/2006/relationships/ctrlProp" Target="../ctrlProps/ctrlProp1252.xml"/><Relationship Id="rId284" Type="http://schemas.openxmlformats.org/officeDocument/2006/relationships/ctrlProp" Target="../ctrlProps/ctrlProp1273.xml"/><Relationship Id="rId37" Type="http://schemas.openxmlformats.org/officeDocument/2006/relationships/ctrlProp" Target="../ctrlProps/ctrlProp1026.xml"/><Relationship Id="rId58" Type="http://schemas.openxmlformats.org/officeDocument/2006/relationships/ctrlProp" Target="../ctrlProps/ctrlProp1047.xml"/><Relationship Id="rId79" Type="http://schemas.openxmlformats.org/officeDocument/2006/relationships/ctrlProp" Target="../ctrlProps/ctrlProp1068.xml"/><Relationship Id="rId102" Type="http://schemas.openxmlformats.org/officeDocument/2006/relationships/ctrlProp" Target="../ctrlProps/ctrlProp1091.xml"/><Relationship Id="rId123" Type="http://schemas.openxmlformats.org/officeDocument/2006/relationships/ctrlProp" Target="../ctrlProps/ctrlProp1112.xml"/><Relationship Id="rId144" Type="http://schemas.openxmlformats.org/officeDocument/2006/relationships/ctrlProp" Target="../ctrlProps/ctrlProp1133.xml"/><Relationship Id="rId90" Type="http://schemas.openxmlformats.org/officeDocument/2006/relationships/ctrlProp" Target="../ctrlProps/ctrlProp1079.xml"/><Relationship Id="rId165" Type="http://schemas.openxmlformats.org/officeDocument/2006/relationships/ctrlProp" Target="../ctrlProps/ctrlProp1154.xml"/><Relationship Id="rId186" Type="http://schemas.openxmlformats.org/officeDocument/2006/relationships/ctrlProp" Target="../ctrlProps/ctrlProp1175.xml"/><Relationship Id="rId211" Type="http://schemas.openxmlformats.org/officeDocument/2006/relationships/ctrlProp" Target="../ctrlProps/ctrlProp1200.xml"/><Relationship Id="rId232" Type="http://schemas.openxmlformats.org/officeDocument/2006/relationships/ctrlProp" Target="../ctrlProps/ctrlProp1221.xml"/><Relationship Id="rId253" Type="http://schemas.openxmlformats.org/officeDocument/2006/relationships/ctrlProp" Target="../ctrlProps/ctrlProp1242.xml"/><Relationship Id="rId274" Type="http://schemas.openxmlformats.org/officeDocument/2006/relationships/ctrlProp" Target="../ctrlProps/ctrlProp1263.xml"/><Relationship Id="rId27" Type="http://schemas.openxmlformats.org/officeDocument/2006/relationships/ctrlProp" Target="../ctrlProps/ctrlProp1016.xml"/><Relationship Id="rId48" Type="http://schemas.openxmlformats.org/officeDocument/2006/relationships/ctrlProp" Target="../ctrlProps/ctrlProp1037.xml"/><Relationship Id="rId69" Type="http://schemas.openxmlformats.org/officeDocument/2006/relationships/ctrlProp" Target="../ctrlProps/ctrlProp1058.xml"/><Relationship Id="rId113" Type="http://schemas.openxmlformats.org/officeDocument/2006/relationships/ctrlProp" Target="../ctrlProps/ctrlProp1102.xml"/><Relationship Id="rId134" Type="http://schemas.openxmlformats.org/officeDocument/2006/relationships/ctrlProp" Target="../ctrlProps/ctrlProp1123.xml"/><Relationship Id="rId80" Type="http://schemas.openxmlformats.org/officeDocument/2006/relationships/ctrlProp" Target="../ctrlProps/ctrlProp1069.xml"/><Relationship Id="rId155" Type="http://schemas.openxmlformats.org/officeDocument/2006/relationships/ctrlProp" Target="../ctrlProps/ctrlProp1144.xml"/><Relationship Id="rId176" Type="http://schemas.openxmlformats.org/officeDocument/2006/relationships/ctrlProp" Target="../ctrlProps/ctrlProp1165.xml"/><Relationship Id="rId197" Type="http://schemas.openxmlformats.org/officeDocument/2006/relationships/ctrlProp" Target="../ctrlProps/ctrlProp1186.xml"/><Relationship Id="rId201" Type="http://schemas.openxmlformats.org/officeDocument/2006/relationships/ctrlProp" Target="../ctrlProps/ctrlProp1190.xml"/><Relationship Id="rId222" Type="http://schemas.openxmlformats.org/officeDocument/2006/relationships/ctrlProp" Target="../ctrlProps/ctrlProp1211.xml"/><Relationship Id="rId243" Type="http://schemas.openxmlformats.org/officeDocument/2006/relationships/ctrlProp" Target="../ctrlProps/ctrlProp1232.xml"/><Relationship Id="rId264" Type="http://schemas.openxmlformats.org/officeDocument/2006/relationships/ctrlProp" Target="../ctrlProps/ctrlProp1253.xml"/><Relationship Id="rId17" Type="http://schemas.openxmlformats.org/officeDocument/2006/relationships/ctrlProp" Target="../ctrlProps/ctrlProp1006.xml"/><Relationship Id="rId38" Type="http://schemas.openxmlformats.org/officeDocument/2006/relationships/ctrlProp" Target="../ctrlProps/ctrlProp1027.xml"/><Relationship Id="rId59" Type="http://schemas.openxmlformats.org/officeDocument/2006/relationships/ctrlProp" Target="../ctrlProps/ctrlProp1048.xml"/><Relationship Id="rId103" Type="http://schemas.openxmlformats.org/officeDocument/2006/relationships/ctrlProp" Target="../ctrlProps/ctrlProp1092.xml"/><Relationship Id="rId124" Type="http://schemas.openxmlformats.org/officeDocument/2006/relationships/ctrlProp" Target="../ctrlProps/ctrlProp1113.xml"/><Relationship Id="rId70" Type="http://schemas.openxmlformats.org/officeDocument/2006/relationships/ctrlProp" Target="../ctrlProps/ctrlProp1059.xml"/><Relationship Id="rId91" Type="http://schemas.openxmlformats.org/officeDocument/2006/relationships/ctrlProp" Target="../ctrlProps/ctrlProp1080.xml"/><Relationship Id="rId145" Type="http://schemas.openxmlformats.org/officeDocument/2006/relationships/ctrlProp" Target="../ctrlProps/ctrlProp1134.xml"/><Relationship Id="rId166" Type="http://schemas.openxmlformats.org/officeDocument/2006/relationships/ctrlProp" Target="../ctrlProps/ctrlProp1155.xml"/><Relationship Id="rId187" Type="http://schemas.openxmlformats.org/officeDocument/2006/relationships/ctrlProp" Target="../ctrlProps/ctrlProp1176.xml"/><Relationship Id="rId1" Type="http://schemas.openxmlformats.org/officeDocument/2006/relationships/printerSettings" Target="../printerSettings/printerSettings62.bin"/><Relationship Id="rId212" Type="http://schemas.openxmlformats.org/officeDocument/2006/relationships/ctrlProp" Target="../ctrlProps/ctrlProp1201.xml"/><Relationship Id="rId233" Type="http://schemas.openxmlformats.org/officeDocument/2006/relationships/ctrlProp" Target="../ctrlProps/ctrlProp1222.xml"/><Relationship Id="rId254" Type="http://schemas.openxmlformats.org/officeDocument/2006/relationships/ctrlProp" Target="../ctrlProps/ctrlProp1243.xml"/><Relationship Id="rId28" Type="http://schemas.openxmlformats.org/officeDocument/2006/relationships/ctrlProp" Target="../ctrlProps/ctrlProp1017.xml"/><Relationship Id="rId49" Type="http://schemas.openxmlformats.org/officeDocument/2006/relationships/ctrlProp" Target="../ctrlProps/ctrlProp1038.xml"/><Relationship Id="rId114" Type="http://schemas.openxmlformats.org/officeDocument/2006/relationships/ctrlProp" Target="../ctrlProps/ctrlProp1103.xml"/><Relationship Id="rId275" Type="http://schemas.openxmlformats.org/officeDocument/2006/relationships/ctrlProp" Target="../ctrlProps/ctrlProp1264.xml"/><Relationship Id="rId60" Type="http://schemas.openxmlformats.org/officeDocument/2006/relationships/ctrlProp" Target="../ctrlProps/ctrlProp1049.xml"/><Relationship Id="rId81" Type="http://schemas.openxmlformats.org/officeDocument/2006/relationships/ctrlProp" Target="../ctrlProps/ctrlProp1070.xml"/><Relationship Id="rId135" Type="http://schemas.openxmlformats.org/officeDocument/2006/relationships/ctrlProp" Target="../ctrlProps/ctrlProp1124.xml"/><Relationship Id="rId156" Type="http://schemas.openxmlformats.org/officeDocument/2006/relationships/ctrlProp" Target="../ctrlProps/ctrlProp1145.xml"/><Relationship Id="rId177" Type="http://schemas.openxmlformats.org/officeDocument/2006/relationships/ctrlProp" Target="../ctrlProps/ctrlProp1166.xml"/><Relationship Id="rId198" Type="http://schemas.openxmlformats.org/officeDocument/2006/relationships/ctrlProp" Target="../ctrlProps/ctrlProp1187.xml"/><Relationship Id="rId202" Type="http://schemas.openxmlformats.org/officeDocument/2006/relationships/ctrlProp" Target="../ctrlProps/ctrlProp1191.xml"/><Relationship Id="rId223" Type="http://schemas.openxmlformats.org/officeDocument/2006/relationships/ctrlProp" Target="../ctrlProps/ctrlProp1212.xml"/><Relationship Id="rId244" Type="http://schemas.openxmlformats.org/officeDocument/2006/relationships/ctrlProp" Target="../ctrlProps/ctrlProp1233.xml"/><Relationship Id="rId18" Type="http://schemas.openxmlformats.org/officeDocument/2006/relationships/ctrlProp" Target="../ctrlProps/ctrlProp1007.xml"/><Relationship Id="rId39" Type="http://schemas.openxmlformats.org/officeDocument/2006/relationships/ctrlProp" Target="../ctrlProps/ctrlProp1028.xml"/><Relationship Id="rId265" Type="http://schemas.openxmlformats.org/officeDocument/2006/relationships/ctrlProp" Target="../ctrlProps/ctrlProp1254.xml"/><Relationship Id="rId50" Type="http://schemas.openxmlformats.org/officeDocument/2006/relationships/ctrlProp" Target="../ctrlProps/ctrlProp1039.xml"/><Relationship Id="rId104" Type="http://schemas.openxmlformats.org/officeDocument/2006/relationships/ctrlProp" Target="../ctrlProps/ctrlProp1093.xml"/><Relationship Id="rId125" Type="http://schemas.openxmlformats.org/officeDocument/2006/relationships/ctrlProp" Target="../ctrlProps/ctrlProp1114.xml"/><Relationship Id="rId146" Type="http://schemas.openxmlformats.org/officeDocument/2006/relationships/ctrlProp" Target="../ctrlProps/ctrlProp1135.xml"/><Relationship Id="rId167" Type="http://schemas.openxmlformats.org/officeDocument/2006/relationships/ctrlProp" Target="../ctrlProps/ctrlProp1156.xml"/><Relationship Id="rId188" Type="http://schemas.openxmlformats.org/officeDocument/2006/relationships/ctrlProp" Target="../ctrlProps/ctrlProp1177.xml"/><Relationship Id="rId71" Type="http://schemas.openxmlformats.org/officeDocument/2006/relationships/ctrlProp" Target="../ctrlProps/ctrlProp1060.xml"/><Relationship Id="rId92" Type="http://schemas.openxmlformats.org/officeDocument/2006/relationships/ctrlProp" Target="../ctrlProps/ctrlProp1081.xml"/><Relationship Id="rId213" Type="http://schemas.openxmlformats.org/officeDocument/2006/relationships/ctrlProp" Target="../ctrlProps/ctrlProp1202.xml"/><Relationship Id="rId234" Type="http://schemas.openxmlformats.org/officeDocument/2006/relationships/ctrlProp" Target="../ctrlProps/ctrlProp1223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18.xml"/><Relationship Id="rId255" Type="http://schemas.openxmlformats.org/officeDocument/2006/relationships/ctrlProp" Target="../ctrlProps/ctrlProp1244.xml"/><Relationship Id="rId276" Type="http://schemas.openxmlformats.org/officeDocument/2006/relationships/ctrlProp" Target="../ctrlProps/ctrlProp1265.xml"/><Relationship Id="rId40" Type="http://schemas.openxmlformats.org/officeDocument/2006/relationships/ctrlProp" Target="../ctrlProps/ctrlProp1029.xml"/><Relationship Id="rId115" Type="http://schemas.openxmlformats.org/officeDocument/2006/relationships/ctrlProp" Target="../ctrlProps/ctrlProp1104.xml"/><Relationship Id="rId136" Type="http://schemas.openxmlformats.org/officeDocument/2006/relationships/ctrlProp" Target="../ctrlProps/ctrlProp1125.xml"/><Relationship Id="rId157" Type="http://schemas.openxmlformats.org/officeDocument/2006/relationships/ctrlProp" Target="../ctrlProps/ctrlProp1146.xml"/><Relationship Id="rId178" Type="http://schemas.openxmlformats.org/officeDocument/2006/relationships/ctrlProp" Target="../ctrlProps/ctrlProp1167.xml"/><Relationship Id="rId61" Type="http://schemas.openxmlformats.org/officeDocument/2006/relationships/ctrlProp" Target="../ctrlProps/ctrlProp1050.xml"/><Relationship Id="rId82" Type="http://schemas.openxmlformats.org/officeDocument/2006/relationships/ctrlProp" Target="../ctrlProps/ctrlProp1071.xml"/><Relationship Id="rId199" Type="http://schemas.openxmlformats.org/officeDocument/2006/relationships/ctrlProp" Target="../ctrlProps/ctrlProp1188.xml"/><Relationship Id="rId203" Type="http://schemas.openxmlformats.org/officeDocument/2006/relationships/ctrlProp" Target="../ctrlProps/ctrlProp1192.xml"/><Relationship Id="rId19" Type="http://schemas.openxmlformats.org/officeDocument/2006/relationships/ctrlProp" Target="../ctrlProps/ctrlProp1008.xml"/><Relationship Id="rId224" Type="http://schemas.openxmlformats.org/officeDocument/2006/relationships/ctrlProp" Target="../ctrlProps/ctrlProp1213.xml"/><Relationship Id="rId245" Type="http://schemas.openxmlformats.org/officeDocument/2006/relationships/ctrlProp" Target="../ctrlProps/ctrlProp1234.xml"/><Relationship Id="rId266" Type="http://schemas.openxmlformats.org/officeDocument/2006/relationships/ctrlProp" Target="../ctrlProps/ctrlProp1255.xml"/><Relationship Id="rId30" Type="http://schemas.openxmlformats.org/officeDocument/2006/relationships/ctrlProp" Target="../ctrlProps/ctrlProp1019.xml"/><Relationship Id="rId105" Type="http://schemas.openxmlformats.org/officeDocument/2006/relationships/ctrlProp" Target="../ctrlProps/ctrlProp1094.xml"/><Relationship Id="rId126" Type="http://schemas.openxmlformats.org/officeDocument/2006/relationships/ctrlProp" Target="../ctrlProps/ctrlProp1115.xml"/><Relationship Id="rId147" Type="http://schemas.openxmlformats.org/officeDocument/2006/relationships/ctrlProp" Target="../ctrlProps/ctrlProp1136.xml"/><Relationship Id="rId168" Type="http://schemas.openxmlformats.org/officeDocument/2006/relationships/ctrlProp" Target="../ctrlProps/ctrlProp1157.xml"/><Relationship Id="rId51" Type="http://schemas.openxmlformats.org/officeDocument/2006/relationships/ctrlProp" Target="../ctrlProps/ctrlProp1040.xml"/><Relationship Id="rId72" Type="http://schemas.openxmlformats.org/officeDocument/2006/relationships/ctrlProp" Target="../ctrlProps/ctrlProp1061.xml"/><Relationship Id="rId93" Type="http://schemas.openxmlformats.org/officeDocument/2006/relationships/ctrlProp" Target="../ctrlProps/ctrlProp1082.xml"/><Relationship Id="rId189" Type="http://schemas.openxmlformats.org/officeDocument/2006/relationships/ctrlProp" Target="../ctrlProps/ctrlProp1178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03.xml"/><Relationship Id="rId235" Type="http://schemas.openxmlformats.org/officeDocument/2006/relationships/ctrlProp" Target="../ctrlProps/ctrlProp1224.xml"/><Relationship Id="rId256" Type="http://schemas.openxmlformats.org/officeDocument/2006/relationships/ctrlProp" Target="../ctrlProps/ctrlProp1245.xml"/><Relationship Id="rId277" Type="http://schemas.openxmlformats.org/officeDocument/2006/relationships/ctrlProp" Target="../ctrlProps/ctrlProp1266.xml"/><Relationship Id="rId116" Type="http://schemas.openxmlformats.org/officeDocument/2006/relationships/ctrlProp" Target="../ctrlProps/ctrlProp1105.xml"/><Relationship Id="rId137" Type="http://schemas.openxmlformats.org/officeDocument/2006/relationships/ctrlProp" Target="../ctrlProps/ctrlProp1126.xml"/><Relationship Id="rId158" Type="http://schemas.openxmlformats.org/officeDocument/2006/relationships/ctrlProp" Target="../ctrlProps/ctrlProp1147.xml"/><Relationship Id="rId20" Type="http://schemas.openxmlformats.org/officeDocument/2006/relationships/ctrlProp" Target="../ctrlProps/ctrlProp1009.xml"/><Relationship Id="rId41" Type="http://schemas.openxmlformats.org/officeDocument/2006/relationships/ctrlProp" Target="../ctrlProps/ctrlProp1030.xml"/><Relationship Id="rId62" Type="http://schemas.openxmlformats.org/officeDocument/2006/relationships/ctrlProp" Target="../ctrlProps/ctrlProp1051.xml"/><Relationship Id="rId83" Type="http://schemas.openxmlformats.org/officeDocument/2006/relationships/ctrlProp" Target="../ctrlProps/ctrlProp1072.xml"/><Relationship Id="rId179" Type="http://schemas.openxmlformats.org/officeDocument/2006/relationships/ctrlProp" Target="../ctrlProps/ctrlProp1168.xml"/><Relationship Id="rId190" Type="http://schemas.openxmlformats.org/officeDocument/2006/relationships/ctrlProp" Target="../ctrlProps/ctrlProp1179.xml"/><Relationship Id="rId204" Type="http://schemas.openxmlformats.org/officeDocument/2006/relationships/ctrlProp" Target="../ctrlProps/ctrlProp1193.xml"/><Relationship Id="rId225" Type="http://schemas.openxmlformats.org/officeDocument/2006/relationships/ctrlProp" Target="../ctrlProps/ctrlProp1214.xml"/><Relationship Id="rId246" Type="http://schemas.openxmlformats.org/officeDocument/2006/relationships/ctrlProp" Target="../ctrlProps/ctrlProp1235.xml"/><Relationship Id="rId267" Type="http://schemas.openxmlformats.org/officeDocument/2006/relationships/ctrlProp" Target="../ctrlProps/ctrlProp1256.xml"/><Relationship Id="rId106" Type="http://schemas.openxmlformats.org/officeDocument/2006/relationships/ctrlProp" Target="../ctrlProps/ctrlProp1095.xml"/><Relationship Id="rId127" Type="http://schemas.openxmlformats.org/officeDocument/2006/relationships/ctrlProp" Target="../ctrlProps/ctrlProp1116.xml"/><Relationship Id="rId10" Type="http://schemas.openxmlformats.org/officeDocument/2006/relationships/ctrlProp" Target="../ctrlProps/ctrlProp999.xml"/><Relationship Id="rId31" Type="http://schemas.openxmlformats.org/officeDocument/2006/relationships/ctrlProp" Target="../ctrlProps/ctrlProp1020.xml"/><Relationship Id="rId52" Type="http://schemas.openxmlformats.org/officeDocument/2006/relationships/ctrlProp" Target="../ctrlProps/ctrlProp1041.xml"/><Relationship Id="rId73" Type="http://schemas.openxmlformats.org/officeDocument/2006/relationships/ctrlProp" Target="../ctrlProps/ctrlProp1062.xml"/><Relationship Id="rId94" Type="http://schemas.openxmlformats.org/officeDocument/2006/relationships/ctrlProp" Target="../ctrlProps/ctrlProp1083.xml"/><Relationship Id="rId148" Type="http://schemas.openxmlformats.org/officeDocument/2006/relationships/ctrlProp" Target="../ctrlProps/ctrlProp1137.xml"/><Relationship Id="rId169" Type="http://schemas.openxmlformats.org/officeDocument/2006/relationships/ctrlProp" Target="../ctrlProps/ctrlProp1158.xml"/><Relationship Id="rId4" Type="http://schemas.openxmlformats.org/officeDocument/2006/relationships/ctrlProp" Target="../ctrlProps/ctrlProp993.xml"/><Relationship Id="rId180" Type="http://schemas.openxmlformats.org/officeDocument/2006/relationships/ctrlProp" Target="../ctrlProps/ctrlProp1169.xml"/><Relationship Id="rId215" Type="http://schemas.openxmlformats.org/officeDocument/2006/relationships/ctrlProp" Target="../ctrlProps/ctrlProp1204.xml"/><Relationship Id="rId236" Type="http://schemas.openxmlformats.org/officeDocument/2006/relationships/ctrlProp" Target="../ctrlProps/ctrlProp1225.xml"/><Relationship Id="rId257" Type="http://schemas.openxmlformats.org/officeDocument/2006/relationships/ctrlProp" Target="../ctrlProps/ctrlProp1246.xml"/><Relationship Id="rId278" Type="http://schemas.openxmlformats.org/officeDocument/2006/relationships/ctrlProp" Target="../ctrlProps/ctrlProp1267.xml"/><Relationship Id="rId42" Type="http://schemas.openxmlformats.org/officeDocument/2006/relationships/ctrlProp" Target="../ctrlProps/ctrlProp1031.xml"/><Relationship Id="rId84" Type="http://schemas.openxmlformats.org/officeDocument/2006/relationships/ctrlProp" Target="../ctrlProps/ctrlProp1073.xml"/><Relationship Id="rId138" Type="http://schemas.openxmlformats.org/officeDocument/2006/relationships/ctrlProp" Target="../ctrlProps/ctrlProp1127.xml"/><Relationship Id="rId191" Type="http://schemas.openxmlformats.org/officeDocument/2006/relationships/ctrlProp" Target="../ctrlProps/ctrlProp1180.xml"/><Relationship Id="rId205" Type="http://schemas.openxmlformats.org/officeDocument/2006/relationships/ctrlProp" Target="../ctrlProps/ctrlProp1194.xml"/><Relationship Id="rId247" Type="http://schemas.openxmlformats.org/officeDocument/2006/relationships/ctrlProp" Target="../ctrlProps/ctrlProp1236.xml"/><Relationship Id="rId107" Type="http://schemas.openxmlformats.org/officeDocument/2006/relationships/ctrlProp" Target="../ctrlProps/ctrlProp1096.xml"/><Relationship Id="rId11" Type="http://schemas.openxmlformats.org/officeDocument/2006/relationships/ctrlProp" Target="../ctrlProps/ctrlProp1000.xml"/><Relationship Id="rId53" Type="http://schemas.openxmlformats.org/officeDocument/2006/relationships/ctrlProp" Target="../ctrlProps/ctrlProp1042.xml"/><Relationship Id="rId149" Type="http://schemas.openxmlformats.org/officeDocument/2006/relationships/ctrlProp" Target="../ctrlProps/ctrlProp1138.xml"/><Relationship Id="rId95" Type="http://schemas.openxmlformats.org/officeDocument/2006/relationships/ctrlProp" Target="../ctrlProps/ctrlProp1084.xml"/><Relationship Id="rId160" Type="http://schemas.openxmlformats.org/officeDocument/2006/relationships/ctrlProp" Target="../ctrlProps/ctrlProp1149.xml"/><Relationship Id="rId216" Type="http://schemas.openxmlformats.org/officeDocument/2006/relationships/ctrlProp" Target="../ctrlProps/ctrlProp1205.xml"/><Relationship Id="rId258" Type="http://schemas.openxmlformats.org/officeDocument/2006/relationships/ctrlProp" Target="../ctrlProps/ctrlProp124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8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E54"/>
  <sheetViews>
    <sheetView workbookViewId="0">
      <selection activeCell="D12" sqref="D12"/>
    </sheetView>
  </sheetViews>
  <sheetFormatPr defaultRowHeight="12.85" x14ac:dyDescent="0.35"/>
  <cols>
    <col min="1" max="1" width="11.1328125" customWidth="1"/>
    <col min="2" max="2" width="16.19921875" customWidth="1"/>
  </cols>
  <sheetData>
    <row r="1" spans="1:5" s="517" customFormat="1" x14ac:dyDescent="0.35">
      <c r="A1" s="518" t="s">
        <v>1216</v>
      </c>
      <c r="B1" s="518" t="s">
        <v>1217</v>
      </c>
      <c r="D1" s="518" t="s">
        <v>5000</v>
      </c>
      <c r="E1" s="518" t="s">
        <v>1206</v>
      </c>
    </row>
    <row r="2" spans="1:5" x14ac:dyDescent="0.35">
      <c r="A2" s="518" t="s">
        <v>1202</v>
      </c>
      <c r="B2" t="b">
        <v>1</v>
      </c>
      <c r="D2" s="517" t="s">
        <v>5001</v>
      </c>
      <c r="E2" s="518" t="s">
        <v>5019</v>
      </c>
    </row>
    <row r="3" spans="1:5" x14ac:dyDescent="0.35">
      <c r="A3" s="518" t="s">
        <v>1203</v>
      </c>
      <c r="B3" t="b">
        <v>1</v>
      </c>
      <c r="D3" s="517" t="s">
        <v>5002</v>
      </c>
      <c r="E3" s="518" t="s">
        <v>5020</v>
      </c>
    </row>
    <row r="4" spans="1:5" x14ac:dyDescent="0.35">
      <c r="A4" s="518" t="s">
        <v>1204</v>
      </c>
      <c r="B4" s="518" t="s">
        <v>1206</v>
      </c>
      <c r="C4" s="517"/>
      <c r="D4" s="517" t="s">
        <v>5003</v>
      </c>
      <c r="E4" s="518" t="s">
        <v>5021</v>
      </c>
    </row>
    <row r="5" spans="1:5" x14ac:dyDescent="0.35">
      <c r="A5" s="518" t="s">
        <v>1205</v>
      </c>
      <c r="B5" s="518" t="s">
        <v>1207</v>
      </c>
      <c r="C5" s="517"/>
      <c r="D5" s="517" t="s">
        <v>5004</v>
      </c>
      <c r="E5" s="518" t="s">
        <v>5022</v>
      </c>
    </row>
    <row r="6" spans="1:5" x14ac:dyDescent="0.35">
      <c r="A6" s="518" t="s">
        <v>1208</v>
      </c>
      <c r="B6" s="518" t="s">
        <v>1209</v>
      </c>
      <c r="C6" s="517"/>
      <c r="D6" s="517" t="s">
        <v>5005</v>
      </c>
      <c r="E6" s="518" t="s">
        <v>5023</v>
      </c>
    </row>
    <row r="7" spans="1:5" x14ac:dyDescent="0.35">
      <c r="A7" s="518" t="s">
        <v>1210</v>
      </c>
      <c r="B7" t="s">
        <v>1211</v>
      </c>
      <c r="C7" s="517"/>
      <c r="D7" s="517" t="s">
        <v>5006</v>
      </c>
      <c r="E7" s="518" t="s">
        <v>5024</v>
      </c>
    </row>
    <row r="8" spans="1:5" x14ac:dyDescent="0.35">
      <c r="A8" s="518" t="s">
        <v>1212</v>
      </c>
      <c r="B8" s="518" t="s">
        <v>1213</v>
      </c>
      <c r="C8" s="517"/>
      <c r="D8" s="517" t="s">
        <v>5007</v>
      </c>
      <c r="E8" s="518" t="s">
        <v>5025</v>
      </c>
    </row>
    <row r="9" spans="1:5" x14ac:dyDescent="0.35">
      <c r="A9" s="518" t="s">
        <v>1214</v>
      </c>
      <c r="B9" t="s">
        <v>1215</v>
      </c>
      <c r="C9" s="517"/>
      <c r="D9" s="517" t="s">
        <v>5008</v>
      </c>
      <c r="E9" s="518" t="s">
        <v>5026</v>
      </c>
    </row>
    <row r="10" spans="1:5" x14ac:dyDescent="0.35">
      <c r="A10" s="518" t="s">
        <v>1218</v>
      </c>
      <c r="B10" s="518" t="s">
        <v>1219</v>
      </c>
      <c r="C10" s="517"/>
      <c r="D10" s="517" t="s">
        <v>5009</v>
      </c>
      <c r="E10" s="518" t="s">
        <v>5027</v>
      </c>
    </row>
    <row r="11" spans="1:5" x14ac:dyDescent="0.35">
      <c r="C11" s="517"/>
      <c r="D11" s="517" t="s">
        <v>5010</v>
      </c>
      <c r="E11" s="518" t="s">
        <v>5028</v>
      </c>
    </row>
    <row r="12" spans="1:5" x14ac:dyDescent="0.35">
      <c r="D12" s="517" t="s">
        <v>5011</v>
      </c>
      <c r="E12" s="518" t="s">
        <v>5029</v>
      </c>
    </row>
    <row r="13" spans="1:5" x14ac:dyDescent="0.35">
      <c r="D13" s="517" t="s">
        <v>5012</v>
      </c>
      <c r="E13" s="518" t="s">
        <v>5030</v>
      </c>
    </row>
    <row r="14" spans="1:5" x14ac:dyDescent="0.35">
      <c r="D14" s="517" t="s">
        <v>5013</v>
      </c>
      <c r="E14" s="518" t="s">
        <v>5031</v>
      </c>
    </row>
    <row r="15" spans="1:5" x14ac:dyDescent="0.35">
      <c r="D15" s="517" t="s">
        <v>5014</v>
      </c>
      <c r="E15" s="518" t="s">
        <v>5032</v>
      </c>
    </row>
    <row r="16" spans="1:5" x14ac:dyDescent="0.35">
      <c r="D16" s="517" t="s">
        <v>5015</v>
      </c>
      <c r="E16" s="518" t="s">
        <v>5033</v>
      </c>
    </row>
    <row r="17" spans="4:5" x14ac:dyDescent="0.35">
      <c r="D17" s="517" t="s">
        <v>5016</v>
      </c>
      <c r="E17" s="518" t="s">
        <v>5034</v>
      </c>
    </row>
    <row r="18" spans="4:5" x14ac:dyDescent="0.35">
      <c r="D18" s="517" t="s">
        <v>5017</v>
      </c>
      <c r="E18" s="518" t="s">
        <v>5035</v>
      </c>
    </row>
    <row r="19" spans="4:5" x14ac:dyDescent="0.35">
      <c r="D19" s="517" t="s">
        <v>5018</v>
      </c>
      <c r="E19" s="518" t="s">
        <v>5036</v>
      </c>
    </row>
    <row r="20" spans="4:5" x14ac:dyDescent="0.35">
      <c r="E20" s="518" t="s">
        <v>5037</v>
      </c>
    </row>
    <row r="21" spans="4:5" x14ac:dyDescent="0.35">
      <c r="E21" s="518" t="s">
        <v>5038</v>
      </c>
    </row>
    <row r="22" spans="4:5" x14ac:dyDescent="0.35">
      <c r="E22" s="518" t="s">
        <v>5039</v>
      </c>
    </row>
    <row r="23" spans="4:5" x14ac:dyDescent="0.35">
      <c r="E23" s="518" t="s">
        <v>5040</v>
      </c>
    </row>
    <row r="24" spans="4:5" x14ac:dyDescent="0.35">
      <c r="E24" s="518" t="s">
        <v>5041</v>
      </c>
    </row>
    <row r="25" spans="4:5" x14ac:dyDescent="0.35">
      <c r="E25" s="518" t="s">
        <v>5042</v>
      </c>
    </row>
    <row r="26" spans="4:5" x14ac:dyDescent="0.35">
      <c r="E26" s="518" t="s">
        <v>5043</v>
      </c>
    </row>
    <row r="27" spans="4:5" x14ac:dyDescent="0.35">
      <c r="E27" s="518" t="s">
        <v>5044</v>
      </c>
    </row>
    <row r="28" spans="4:5" x14ac:dyDescent="0.35">
      <c r="E28" s="518" t="s">
        <v>5045</v>
      </c>
    </row>
    <row r="29" spans="4:5" x14ac:dyDescent="0.35">
      <c r="E29" s="518" t="s">
        <v>5046</v>
      </c>
    </row>
    <row r="30" spans="4:5" x14ac:dyDescent="0.35">
      <c r="E30" s="518" t="s">
        <v>5047</v>
      </c>
    </row>
    <row r="31" spans="4:5" x14ac:dyDescent="0.35">
      <c r="E31" s="518" t="s">
        <v>5048</v>
      </c>
    </row>
    <row r="32" spans="4:5" x14ac:dyDescent="0.35">
      <c r="E32" s="518" t="s">
        <v>5049</v>
      </c>
    </row>
    <row r="33" spans="5:5" x14ac:dyDescent="0.35">
      <c r="E33" s="518" t="s">
        <v>5050</v>
      </c>
    </row>
    <row r="34" spans="5:5" x14ac:dyDescent="0.35">
      <c r="E34" s="518" t="s">
        <v>5051</v>
      </c>
    </row>
    <row r="35" spans="5:5" x14ac:dyDescent="0.35">
      <c r="E35" s="518" t="s">
        <v>5052</v>
      </c>
    </row>
    <row r="36" spans="5:5" x14ac:dyDescent="0.35">
      <c r="E36" s="518" t="s">
        <v>5053</v>
      </c>
    </row>
    <row r="37" spans="5:5" x14ac:dyDescent="0.35">
      <c r="E37" s="518" t="s">
        <v>5054</v>
      </c>
    </row>
    <row r="38" spans="5:5" x14ac:dyDescent="0.35">
      <c r="E38" s="518" t="s">
        <v>5055</v>
      </c>
    </row>
    <row r="39" spans="5:5" x14ac:dyDescent="0.35">
      <c r="E39" s="518" t="s">
        <v>5056</v>
      </c>
    </row>
    <row r="40" spans="5:5" x14ac:dyDescent="0.35">
      <c r="E40" s="518" t="s">
        <v>5057</v>
      </c>
    </row>
    <row r="41" spans="5:5" x14ac:dyDescent="0.35">
      <c r="E41" s="518" t="s">
        <v>5058</v>
      </c>
    </row>
    <row r="42" spans="5:5" x14ac:dyDescent="0.35">
      <c r="E42" s="518" t="s">
        <v>5059</v>
      </c>
    </row>
    <row r="43" spans="5:5" x14ac:dyDescent="0.35">
      <c r="E43" s="518" t="s">
        <v>5060</v>
      </c>
    </row>
    <row r="44" spans="5:5" x14ac:dyDescent="0.35">
      <c r="E44" s="518" t="s">
        <v>5061</v>
      </c>
    </row>
    <row r="45" spans="5:5" x14ac:dyDescent="0.35">
      <c r="E45" s="518" t="s">
        <v>5062</v>
      </c>
    </row>
    <row r="46" spans="5:5" x14ac:dyDescent="0.35">
      <c r="E46" s="518" t="s">
        <v>5063</v>
      </c>
    </row>
    <row r="47" spans="5:5" x14ac:dyDescent="0.35">
      <c r="E47" s="518" t="s">
        <v>5064</v>
      </c>
    </row>
    <row r="48" spans="5:5" x14ac:dyDescent="0.35">
      <c r="E48" s="518" t="s">
        <v>5065</v>
      </c>
    </row>
    <row r="49" spans="5:5" x14ac:dyDescent="0.35">
      <c r="E49" s="518" t="s">
        <v>5066</v>
      </c>
    </row>
    <row r="50" spans="5:5" x14ac:dyDescent="0.35">
      <c r="E50" s="518" t="s">
        <v>5067</v>
      </c>
    </row>
    <row r="51" spans="5:5" x14ac:dyDescent="0.35">
      <c r="E51" s="518" t="s">
        <v>5068</v>
      </c>
    </row>
    <row r="52" spans="5:5" x14ac:dyDescent="0.35">
      <c r="E52" s="518" t="s">
        <v>5069</v>
      </c>
    </row>
    <row r="53" spans="5:5" x14ac:dyDescent="0.35">
      <c r="E53" s="518" t="s">
        <v>5070</v>
      </c>
    </row>
    <row r="54" spans="5:5" x14ac:dyDescent="0.35">
      <c r="E54" s="518" t="s">
        <v>5071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813"/>
  <sheetViews>
    <sheetView workbookViewId="0">
      <pane ySplit="1" topLeftCell="A1207" activePane="bottomLeft" state="frozen"/>
      <selection pane="bottomLeft" activeCell="B1593" sqref="B1593"/>
    </sheetView>
  </sheetViews>
  <sheetFormatPr defaultRowHeight="12.85" x14ac:dyDescent="0.35"/>
  <cols>
    <col min="1" max="1" width="40.46484375" customWidth="1"/>
    <col min="2" max="2" width="32.265625" customWidth="1"/>
    <col min="3" max="3" width="34.3984375" customWidth="1"/>
    <col min="4" max="4" width="14.9296875" customWidth="1"/>
    <col min="5" max="5" width="30.46484375" customWidth="1"/>
  </cols>
  <sheetData>
    <row r="1" spans="1:9" x14ac:dyDescent="0.35">
      <c r="A1" t="s">
        <v>1222</v>
      </c>
      <c r="B1" t="s">
        <v>1220</v>
      </c>
      <c r="C1" t="s">
        <v>1221</v>
      </c>
      <c r="D1" t="s">
        <v>3498</v>
      </c>
      <c r="E1" t="s">
        <v>1217</v>
      </c>
      <c r="F1" t="s">
        <v>3283</v>
      </c>
      <c r="G1" t="s">
        <v>3495</v>
      </c>
      <c r="H1" t="s">
        <v>3496</v>
      </c>
      <c r="I1" t="s">
        <v>3497</v>
      </c>
    </row>
    <row r="2" spans="1:9" x14ac:dyDescent="0.35">
      <c r="A2" t="s">
        <v>1302</v>
      </c>
      <c r="B2" t="s">
        <v>1223</v>
      </c>
      <c r="D2" t="b">
        <f>IFERROR(VLOOKUP(B2,PatData!$A$2:$A$2000,1,),"")&lt;&gt;""</f>
        <v>1</v>
      </c>
      <c r="F2" t="b">
        <v>0</v>
      </c>
      <c r="G2" t="b">
        <v>1</v>
      </c>
      <c r="H2" t="b">
        <v>0</v>
      </c>
      <c r="I2" t="b">
        <v>0</v>
      </c>
    </row>
    <row r="3" spans="1:9" x14ac:dyDescent="0.35">
      <c r="A3" t="s">
        <v>1303</v>
      </c>
      <c r="B3" t="s">
        <v>1224</v>
      </c>
      <c r="D3" t="b">
        <f>IFERROR(VLOOKUP(B3,PatData!$A$2:$A$2000,1,),"")&lt;&gt;""</f>
        <v>1</v>
      </c>
      <c r="F3" t="b">
        <v>0</v>
      </c>
      <c r="G3" t="b">
        <v>1</v>
      </c>
      <c r="H3" t="b">
        <v>0</v>
      </c>
      <c r="I3" t="b">
        <v>0</v>
      </c>
    </row>
    <row r="4" spans="1:9" x14ac:dyDescent="0.35">
      <c r="A4" t="s">
        <v>1304</v>
      </c>
      <c r="B4" t="s">
        <v>1225</v>
      </c>
      <c r="D4" t="b">
        <f>IFERROR(VLOOKUP(B4,PatData!$A$2:$A$2000,1,),"")&lt;&gt;""</f>
        <v>1</v>
      </c>
      <c r="F4" t="b">
        <v>0</v>
      </c>
      <c r="G4" t="b">
        <v>1</v>
      </c>
      <c r="H4" t="b">
        <v>0</v>
      </c>
      <c r="I4" t="b">
        <v>0</v>
      </c>
    </row>
    <row r="5" spans="1:9" x14ac:dyDescent="0.35">
      <c r="A5" t="s">
        <v>1305</v>
      </c>
      <c r="B5" t="s">
        <v>1226</v>
      </c>
      <c r="D5" t="b">
        <f>IFERROR(VLOOKUP(B5,PatData!$A$2:$A$2000,1,),"")&lt;&gt;""</f>
        <v>1</v>
      </c>
      <c r="F5" t="b">
        <v>0</v>
      </c>
      <c r="G5" t="b">
        <v>1</v>
      </c>
      <c r="H5" t="b">
        <v>0</v>
      </c>
      <c r="I5" t="b">
        <v>0</v>
      </c>
    </row>
    <row r="6" spans="1:9" x14ac:dyDescent="0.35">
      <c r="A6" t="s">
        <v>1306</v>
      </c>
      <c r="B6" t="s">
        <v>1227</v>
      </c>
      <c r="D6" t="b">
        <f>IFERROR(VLOOKUP(B6,PatData!$A$2:$A$2000,1,),"")&lt;&gt;""</f>
        <v>1</v>
      </c>
      <c r="E6">
        <v>0</v>
      </c>
      <c r="F6" t="b">
        <v>0</v>
      </c>
      <c r="G6" t="b">
        <v>1</v>
      </c>
      <c r="H6" t="b">
        <v>0</v>
      </c>
      <c r="I6" t="b">
        <v>0</v>
      </c>
    </row>
    <row r="7" spans="1:9" x14ac:dyDescent="0.35">
      <c r="A7" t="s">
        <v>3603</v>
      </c>
      <c r="B7" t="s">
        <v>3039</v>
      </c>
      <c r="D7" t="b">
        <f>IFERROR(VLOOKUP(B7,PatData!$A$2:$A$2000,1,),"")&lt;&gt;""</f>
        <v>0</v>
      </c>
      <c r="E7" t="s">
        <v>1222</v>
      </c>
      <c r="F7" t="b">
        <v>0</v>
      </c>
      <c r="G7" t="b">
        <v>0</v>
      </c>
      <c r="H7" t="b">
        <v>0</v>
      </c>
      <c r="I7" t="b">
        <v>0</v>
      </c>
    </row>
    <row r="8" spans="1:9" x14ac:dyDescent="0.35">
      <c r="A8" t="s">
        <v>1320</v>
      </c>
      <c r="B8" t="s">
        <v>1228</v>
      </c>
      <c r="D8" t="b">
        <f>IFERROR(VLOOKUP(B8,PatData!$A$2:$A$2000,1,),"")&lt;&gt;""</f>
        <v>0</v>
      </c>
      <c r="E8" t="s">
        <v>3605</v>
      </c>
      <c r="F8" t="b">
        <v>0</v>
      </c>
      <c r="G8" t="b">
        <v>0</v>
      </c>
      <c r="H8" t="b">
        <v>0</v>
      </c>
      <c r="I8" t="b">
        <v>0</v>
      </c>
    </row>
    <row r="9" spans="1:9" x14ac:dyDescent="0.35">
      <c r="A9" t="s">
        <v>4990</v>
      </c>
      <c r="B9" t="s">
        <v>1229</v>
      </c>
      <c r="D9" t="b">
        <f>IFERROR(VLOOKUP(B9,PatData!$A$2:$A$2000,1,),"")&lt;&gt;""</f>
        <v>0</v>
      </c>
      <c r="E9" t="s">
        <v>172</v>
      </c>
      <c r="F9" t="b">
        <v>0</v>
      </c>
      <c r="G9" t="b">
        <v>0</v>
      </c>
      <c r="H9" t="b">
        <v>0</v>
      </c>
      <c r="I9" t="b">
        <v>0</v>
      </c>
    </row>
    <row r="10" spans="1:9" x14ac:dyDescent="0.35">
      <c r="A10" t="s">
        <v>1329</v>
      </c>
      <c r="B10" t="s">
        <v>3606</v>
      </c>
      <c r="D10" t="b">
        <f>IFERROR(VLOOKUP(B10,PatData!$A$2:$A$2000,1,),"")&lt;&gt;""</f>
        <v>1</v>
      </c>
      <c r="F10" t="b">
        <v>0</v>
      </c>
      <c r="G10" t="b">
        <v>1</v>
      </c>
      <c r="H10" t="b">
        <v>0</v>
      </c>
      <c r="I10" t="b">
        <v>0</v>
      </c>
    </row>
    <row r="11" spans="1:9" x14ac:dyDescent="0.35">
      <c r="A11" t="s">
        <v>1330</v>
      </c>
      <c r="B11" t="s">
        <v>3607</v>
      </c>
      <c r="D11" t="b">
        <f>IFERROR(VLOOKUP(B11,PatData!$A$2:$A$2000,1,),"")&lt;&gt;""</f>
        <v>1</v>
      </c>
      <c r="F11" t="b">
        <v>0</v>
      </c>
      <c r="G11" t="b">
        <v>1</v>
      </c>
      <c r="H11" t="b">
        <v>0</v>
      </c>
      <c r="I11" t="b">
        <v>0</v>
      </c>
    </row>
    <row r="12" spans="1:9" x14ac:dyDescent="0.35">
      <c r="A12" t="s">
        <v>1331</v>
      </c>
      <c r="B12" t="s">
        <v>3608</v>
      </c>
      <c r="D12" t="b">
        <f>IFERROR(VLOOKUP(B12,PatData!$A$2:$A$2000,1,),"")&lt;&gt;""</f>
        <v>1</v>
      </c>
      <c r="F12" t="b">
        <v>0</v>
      </c>
      <c r="G12" t="b">
        <v>1</v>
      </c>
      <c r="H12" t="b">
        <v>0</v>
      </c>
      <c r="I12" t="b">
        <v>0</v>
      </c>
    </row>
    <row r="13" spans="1:9" x14ac:dyDescent="0.35">
      <c r="A13" t="s">
        <v>1332</v>
      </c>
      <c r="B13" t="s">
        <v>3609</v>
      </c>
      <c r="D13" t="b">
        <f>IFERROR(VLOOKUP(B13,PatData!$A$2:$A$2000,1,),"")&lt;&gt;""</f>
        <v>1</v>
      </c>
      <c r="F13" t="b">
        <v>0</v>
      </c>
      <c r="G13" t="b">
        <v>1</v>
      </c>
      <c r="H13" t="b">
        <v>0</v>
      </c>
      <c r="I13" t="b">
        <v>0</v>
      </c>
    </row>
    <row r="14" spans="1:9" x14ac:dyDescent="0.35">
      <c r="A14" t="s">
        <v>1333</v>
      </c>
      <c r="B14" t="s">
        <v>3610</v>
      </c>
      <c r="D14" t="b">
        <f>IFERROR(VLOOKUP(B14,PatData!$A$2:$A$2000,1,),"")&lt;&gt;""</f>
        <v>1</v>
      </c>
      <c r="F14" t="b">
        <v>0</v>
      </c>
      <c r="G14" t="b">
        <v>1</v>
      </c>
      <c r="H14" t="b">
        <v>0</v>
      </c>
      <c r="I14" t="b">
        <v>0</v>
      </c>
    </row>
    <row r="15" spans="1:9" x14ac:dyDescent="0.35">
      <c r="A15" t="s">
        <v>1334</v>
      </c>
      <c r="B15" t="s">
        <v>3611</v>
      </c>
      <c r="D15" t="b">
        <f>IFERROR(VLOOKUP(B15,PatData!$A$2:$A$2000,1,),"")&lt;&gt;""</f>
        <v>1</v>
      </c>
      <c r="F15" t="b">
        <v>0</v>
      </c>
      <c r="G15" t="b">
        <v>1</v>
      </c>
      <c r="H15" t="b">
        <v>0</v>
      </c>
      <c r="I15" t="b">
        <v>0</v>
      </c>
    </row>
    <row r="16" spans="1:9" x14ac:dyDescent="0.35">
      <c r="A16" t="s">
        <v>1335</v>
      </c>
      <c r="B16" t="s">
        <v>3612</v>
      </c>
      <c r="D16" t="b">
        <f>IFERROR(VLOOKUP(B16,PatData!$A$2:$A$2000,1,),"")&lt;&gt;""</f>
        <v>1</v>
      </c>
      <c r="F16" t="b">
        <v>0</v>
      </c>
      <c r="G16" t="b">
        <v>1</v>
      </c>
      <c r="H16" t="b">
        <v>0</v>
      </c>
      <c r="I16" t="b">
        <v>0</v>
      </c>
    </row>
    <row r="17" spans="1:9" x14ac:dyDescent="0.35">
      <c r="A17" t="s">
        <v>1336</v>
      </c>
      <c r="B17" t="s">
        <v>3613</v>
      </c>
      <c r="D17" t="b">
        <f>IFERROR(VLOOKUP(B17,PatData!$A$2:$A$2000,1,),"")&lt;&gt;""</f>
        <v>1</v>
      </c>
      <c r="F17" t="b">
        <v>0</v>
      </c>
      <c r="G17" t="b">
        <v>1</v>
      </c>
      <c r="H17" t="b">
        <v>0</v>
      </c>
      <c r="I17" t="b">
        <v>0</v>
      </c>
    </row>
    <row r="18" spans="1:9" x14ac:dyDescent="0.35">
      <c r="A18" t="s">
        <v>1337</v>
      </c>
      <c r="B18" t="s">
        <v>3614</v>
      </c>
      <c r="D18" t="b">
        <f>IFERROR(VLOOKUP(B18,PatData!$A$2:$A$2000,1,),"")&lt;&gt;""</f>
        <v>1</v>
      </c>
      <c r="F18" t="b">
        <v>0</v>
      </c>
      <c r="G18" t="b">
        <v>1</v>
      </c>
      <c r="H18" t="b">
        <v>0</v>
      </c>
      <c r="I18" t="b">
        <v>0</v>
      </c>
    </row>
    <row r="19" spans="1:9" x14ac:dyDescent="0.35">
      <c r="A19" t="s">
        <v>1338</v>
      </c>
      <c r="B19" t="s">
        <v>3615</v>
      </c>
      <c r="D19" t="b">
        <f>IFERROR(VLOOKUP(B19,PatData!$A$2:$A$2000,1,),"")&lt;&gt;""</f>
        <v>1</v>
      </c>
      <c r="F19" t="b">
        <v>0</v>
      </c>
      <c r="G19" t="b">
        <v>1</v>
      </c>
      <c r="H19" t="b">
        <v>0</v>
      </c>
      <c r="I19" t="b">
        <v>0</v>
      </c>
    </row>
    <row r="20" spans="1:9" x14ac:dyDescent="0.35">
      <c r="A20" t="s">
        <v>1339</v>
      </c>
      <c r="B20" t="s">
        <v>3616</v>
      </c>
      <c r="D20" t="b">
        <f>IFERROR(VLOOKUP(B20,PatData!$A$2:$A$2000,1,),"")&lt;&gt;""</f>
        <v>1</v>
      </c>
      <c r="F20" t="b">
        <v>0</v>
      </c>
      <c r="G20" t="b">
        <v>1</v>
      </c>
      <c r="H20" t="b">
        <v>0</v>
      </c>
      <c r="I20" t="b">
        <v>0</v>
      </c>
    </row>
    <row r="21" spans="1:9" x14ac:dyDescent="0.35">
      <c r="A21" t="s">
        <v>1340</v>
      </c>
      <c r="B21" t="s">
        <v>3617</v>
      </c>
      <c r="D21" t="b">
        <f>IFERROR(VLOOKUP(B21,PatData!$A$2:$A$2000,1,),"")&lt;&gt;""</f>
        <v>1</v>
      </c>
      <c r="F21" t="b">
        <v>0</v>
      </c>
      <c r="G21" t="b">
        <v>1</v>
      </c>
      <c r="H21" t="b">
        <v>0</v>
      </c>
      <c r="I21" t="b">
        <v>0</v>
      </c>
    </row>
    <row r="22" spans="1:9" x14ac:dyDescent="0.35">
      <c r="A22" t="s">
        <v>1341</v>
      </c>
      <c r="B22" t="s">
        <v>3618</v>
      </c>
      <c r="D22" t="b">
        <f>IFERROR(VLOOKUP(B22,PatData!$A$2:$A$2000,1,),"")&lt;&gt;""</f>
        <v>1</v>
      </c>
      <c r="F22" t="b">
        <v>0</v>
      </c>
      <c r="G22" t="b">
        <v>1</v>
      </c>
      <c r="H22" t="b">
        <v>0</v>
      </c>
      <c r="I22" t="b">
        <v>0</v>
      </c>
    </row>
    <row r="23" spans="1:9" x14ac:dyDescent="0.35">
      <c r="A23" t="s">
        <v>1342</v>
      </c>
      <c r="B23" t="s">
        <v>3619</v>
      </c>
      <c r="D23" t="b">
        <f>IFERROR(VLOOKUP(B23,PatData!$A$2:$A$2000,1,),"")&lt;&gt;""</f>
        <v>1</v>
      </c>
      <c r="F23" t="b">
        <v>0</v>
      </c>
      <c r="G23" t="b">
        <v>1</v>
      </c>
      <c r="H23" t="b">
        <v>0</v>
      </c>
      <c r="I23" t="b">
        <v>0</v>
      </c>
    </row>
    <row r="24" spans="1:9" x14ac:dyDescent="0.35">
      <c r="A24" t="s">
        <v>1343</v>
      </c>
      <c r="B24" t="s">
        <v>3620</v>
      </c>
      <c r="D24" t="b">
        <f>IFERROR(VLOOKUP(B24,PatData!$A$2:$A$2000,1,),"")&lt;&gt;""</f>
        <v>1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35">
      <c r="A25" t="s">
        <v>1344</v>
      </c>
      <c r="B25" t="s">
        <v>3621</v>
      </c>
      <c r="D25" t="b">
        <f>IFERROR(VLOOKUP(B25,PatData!$A$2:$A$2000,1,),"")&lt;&gt;""</f>
        <v>1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35">
      <c r="A26" t="s">
        <v>1345</v>
      </c>
      <c r="B26" t="s">
        <v>3622</v>
      </c>
      <c r="D26" t="b">
        <f>IFERROR(VLOOKUP(B26,PatData!$A$2:$A$2000,1,),"")&lt;&gt;""</f>
        <v>1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35">
      <c r="A27" t="s">
        <v>1346</v>
      </c>
      <c r="B27" t="s">
        <v>3623</v>
      </c>
      <c r="D27" t="b">
        <f>IFERROR(VLOOKUP(B27,PatData!$A$2:$A$2000,1,),"")&lt;&gt;""</f>
        <v>1</v>
      </c>
      <c r="F27" t="b">
        <v>0</v>
      </c>
      <c r="G27" t="b">
        <v>1</v>
      </c>
      <c r="H27" t="b">
        <v>0</v>
      </c>
      <c r="I27" t="b">
        <v>0</v>
      </c>
    </row>
    <row r="28" spans="1:9" x14ac:dyDescent="0.35">
      <c r="A28" t="s">
        <v>1347</v>
      </c>
      <c r="B28" t="s">
        <v>3624</v>
      </c>
      <c r="D28" t="b">
        <f>IFERROR(VLOOKUP(B28,PatData!$A$2:$A$2000,1,),"")&lt;&gt;""</f>
        <v>1</v>
      </c>
      <c r="F28" t="b">
        <v>0</v>
      </c>
      <c r="G28" t="b">
        <v>1</v>
      </c>
      <c r="H28" t="b">
        <v>0</v>
      </c>
      <c r="I28" t="b">
        <v>0</v>
      </c>
    </row>
    <row r="29" spans="1:9" x14ac:dyDescent="0.35">
      <c r="A29" t="s">
        <v>1348</v>
      </c>
      <c r="B29" t="s">
        <v>3625</v>
      </c>
      <c r="D29" t="b">
        <f>IFERROR(VLOOKUP(B29,PatData!$A$2:$A$2000,1,),"")&lt;&gt;""</f>
        <v>1</v>
      </c>
      <c r="F29" t="b">
        <v>0</v>
      </c>
      <c r="G29" t="b">
        <v>1</v>
      </c>
      <c r="H29" t="b">
        <v>0</v>
      </c>
      <c r="I29" t="b">
        <v>0</v>
      </c>
    </row>
    <row r="30" spans="1:9" x14ac:dyDescent="0.35">
      <c r="A30" t="s">
        <v>1349</v>
      </c>
      <c r="B30" t="s">
        <v>3626</v>
      </c>
      <c r="D30" t="b">
        <f>IFERROR(VLOOKUP(B30,PatData!$A$2:$A$2000,1,),"")&lt;&gt;""</f>
        <v>1</v>
      </c>
      <c r="F30" t="b">
        <v>0</v>
      </c>
      <c r="G30" t="b">
        <v>1</v>
      </c>
      <c r="H30" t="b">
        <v>0</v>
      </c>
      <c r="I30" t="b">
        <v>0</v>
      </c>
    </row>
    <row r="31" spans="1:9" x14ac:dyDescent="0.35">
      <c r="A31" t="s">
        <v>1350</v>
      </c>
      <c r="B31" t="s">
        <v>3627</v>
      </c>
      <c r="D31" t="b">
        <f>IFERROR(VLOOKUP(B31,PatData!$A$2:$A$2000,1,),"")&lt;&gt;""</f>
        <v>1</v>
      </c>
      <c r="F31" t="b">
        <v>0</v>
      </c>
      <c r="G31" t="b">
        <v>1</v>
      </c>
      <c r="H31" t="b">
        <v>0</v>
      </c>
      <c r="I31" t="b">
        <v>0</v>
      </c>
    </row>
    <row r="32" spans="1:9" x14ac:dyDescent="0.35">
      <c r="A32" t="s">
        <v>1351</v>
      </c>
      <c r="B32" t="s">
        <v>3628</v>
      </c>
      <c r="D32" t="b">
        <f>IFERROR(VLOOKUP(B32,PatData!$A$2:$A$2000,1,),"")&lt;&gt;""</f>
        <v>1</v>
      </c>
      <c r="F32" t="b">
        <v>0</v>
      </c>
      <c r="G32" t="b">
        <v>1</v>
      </c>
      <c r="H32" t="b">
        <v>0</v>
      </c>
      <c r="I32" t="b">
        <v>0</v>
      </c>
    </row>
    <row r="33" spans="1:9" x14ac:dyDescent="0.35">
      <c r="A33" t="s">
        <v>1352</v>
      </c>
      <c r="B33" t="s">
        <v>3629</v>
      </c>
      <c r="D33" t="b">
        <f>IFERROR(VLOOKUP(B33,PatData!$A$2:$A$2000,1,),"")&lt;&gt;""</f>
        <v>1</v>
      </c>
      <c r="F33" t="b">
        <v>0</v>
      </c>
      <c r="G33" t="b">
        <v>1</v>
      </c>
      <c r="H33" t="b">
        <v>0</v>
      </c>
      <c r="I33" t="b">
        <v>0</v>
      </c>
    </row>
    <row r="34" spans="1:9" x14ac:dyDescent="0.35">
      <c r="A34" t="s">
        <v>1353</v>
      </c>
      <c r="B34" t="s">
        <v>3630</v>
      </c>
      <c r="D34" t="b">
        <f>IFERROR(VLOOKUP(B34,PatData!$A$2:$A$2000,1,),"")&lt;&gt;""</f>
        <v>1</v>
      </c>
      <c r="F34" t="b">
        <v>0</v>
      </c>
      <c r="G34" t="b">
        <v>1</v>
      </c>
      <c r="H34" t="b">
        <v>0</v>
      </c>
      <c r="I34" t="b">
        <v>0</v>
      </c>
    </row>
    <row r="35" spans="1:9" x14ac:dyDescent="0.35">
      <c r="A35" t="s">
        <v>1354</v>
      </c>
      <c r="B35" t="s">
        <v>3631</v>
      </c>
      <c r="D35" t="b">
        <f>IFERROR(VLOOKUP(B35,PatData!$A$2:$A$2000,1,),"")&lt;&gt;""</f>
        <v>1</v>
      </c>
      <c r="F35" t="b">
        <v>0</v>
      </c>
      <c r="G35" t="b">
        <v>1</v>
      </c>
      <c r="H35" t="b">
        <v>0</v>
      </c>
      <c r="I35" t="b">
        <v>0</v>
      </c>
    </row>
    <row r="36" spans="1:9" x14ac:dyDescent="0.35">
      <c r="A36" t="s">
        <v>1355</v>
      </c>
      <c r="B36" t="s">
        <v>3632</v>
      </c>
      <c r="D36" t="b">
        <f>IFERROR(VLOOKUP(B36,PatData!$A$2:$A$2000,1,),"")&lt;&gt;""</f>
        <v>1</v>
      </c>
      <c r="F36" t="b">
        <v>0</v>
      </c>
      <c r="G36" t="b">
        <v>1</v>
      </c>
      <c r="H36" t="b">
        <v>0</v>
      </c>
      <c r="I36" t="b">
        <v>0</v>
      </c>
    </row>
    <row r="37" spans="1:9" x14ac:dyDescent="0.35">
      <c r="A37" t="s">
        <v>1356</v>
      </c>
      <c r="B37" t="s">
        <v>3633</v>
      </c>
      <c r="D37" t="b">
        <f>IFERROR(VLOOKUP(B37,PatData!$A$2:$A$2000,1,),"")&lt;&gt;""</f>
        <v>1</v>
      </c>
      <c r="F37" t="b">
        <v>0</v>
      </c>
      <c r="G37" t="b">
        <v>1</v>
      </c>
      <c r="H37" t="b">
        <v>0</v>
      </c>
      <c r="I37" t="b">
        <v>0</v>
      </c>
    </row>
    <row r="38" spans="1:9" x14ac:dyDescent="0.35">
      <c r="A38" t="s">
        <v>1357</v>
      </c>
      <c r="B38" t="s">
        <v>3634</v>
      </c>
      <c r="D38" t="b">
        <f>IFERROR(VLOOKUP(B38,PatData!$A$2:$A$2000,1,),"")&lt;&gt;""</f>
        <v>1</v>
      </c>
      <c r="F38" t="b">
        <v>0</v>
      </c>
      <c r="G38" t="b">
        <v>1</v>
      </c>
      <c r="H38" t="b">
        <v>0</v>
      </c>
      <c r="I38" t="b">
        <v>0</v>
      </c>
    </row>
    <row r="39" spans="1:9" x14ac:dyDescent="0.35">
      <c r="A39" t="s">
        <v>1358</v>
      </c>
      <c r="B39" t="s">
        <v>3635</v>
      </c>
      <c r="D39" t="b">
        <f>IFERROR(VLOOKUP(B39,PatData!$A$2:$A$2000,1,),"")&lt;&gt;""</f>
        <v>1</v>
      </c>
      <c r="F39" t="b">
        <v>0</v>
      </c>
      <c r="G39" t="b">
        <v>1</v>
      </c>
      <c r="H39" t="b">
        <v>0</v>
      </c>
      <c r="I39" t="b">
        <v>0</v>
      </c>
    </row>
    <row r="40" spans="1:9" x14ac:dyDescent="0.35">
      <c r="A40" t="s">
        <v>1359</v>
      </c>
      <c r="B40" t="s">
        <v>3636</v>
      </c>
      <c r="D40" t="b">
        <f>IFERROR(VLOOKUP(B40,PatData!$A$2:$A$2000,1,),"")&lt;&gt;""</f>
        <v>1</v>
      </c>
      <c r="F40" t="b">
        <v>0</v>
      </c>
      <c r="G40" t="b">
        <v>1</v>
      </c>
      <c r="H40" t="b">
        <v>0</v>
      </c>
      <c r="I40" t="b">
        <v>0</v>
      </c>
    </row>
    <row r="41" spans="1:9" x14ac:dyDescent="0.35">
      <c r="A41" t="s">
        <v>1360</v>
      </c>
      <c r="B41" t="s">
        <v>3637</v>
      </c>
      <c r="D41" t="b">
        <f>IFERROR(VLOOKUP(B41,PatData!$A$2:$A$2000,1,),"")&lt;&gt;""</f>
        <v>1</v>
      </c>
      <c r="F41" t="b">
        <v>0</v>
      </c>
      <c r="G41" t="b">
        <v>1</v>
      </c>
      <c r="H41" t="b">
        <v>0</v>
      </c>
      <c r="I41" t="b">
        <v>0</v>
      </c>
    </row>
    <row r="42" spans="1:9" x14ac:dyDescent="0.35">
      <c r="A42" t="s">
        <v>1361</v>
      </c>
      <c r="B42" t="s">
        <v>3638</v>
      </c>
      <c r="D42" t="b">
        <f>IFERROR(VLOOKUP(B42,PatData!$A$2:$A$2000,1,),"")&lt;&gt;""</f>
        <v>1</v>
      </c>
      <c r="F42" t="b">
        <v>0</v>
      </c>
      <c r="G42" t="b">
        <v>1</v>
      </c>
      <c r="H42" t="b">
        <v>0</v>
      </c>
      <c r="I42" t="b">
        <v>0</v>
      </c>
    </row>
    <row r="43" spans="1:9" x14ac:dyDescent="0.35">
      <c r="A43" t="s">
        <v>1362</v>
      </c>
      <c r="B43" t="s">
        <v>3639</v>
      </c>
      <c r="D43" t="b">
        <f>IFERROR(VLOOKUP(B43,PatData!$A$2:$A$2000,1,),"")&lt;&gt;""</f>
        <v>1</v>
      </c>
      <c r="F43" t="b">
        <v>0</v>
      </c>
      <c r="G43" t="b">
        <v>1</v>
      </c>
      <c r="H43" t="b">
        <v>0</v>
      </c>
      <c r="I43" t="b">
        <v>0</v>
      </c>
    </row>
    <row r="44" spans="1:9" x14ac:dyDescent="0.35">
      <c r="A44" t="s">
        <v>1363</v>
      </c>
      <c r="B44" t="s">
        <v>3640</v>
      </c>
      <c r="D44" t="b">
        <f>IFERROR(VLOOKUP(B44,PatData!$A$2:$A$2000,1,),"")&lt;&gt;""</f>
        <v>1</v>
      </c>
      <c r="F44" t="b">
        <v>0</v>
      </c>
      <c r="G44" t="b">
        <v>1</v>
      </c>
      <c r="H44" t="b">
        <v>0</v>
      </c>
      <c r="I44" t="b">
        <v>0</v>
      </c>
    </row>
    <row r="45" spans="1:9" x14ac:dyDescent="0.35">
      <c r="A45" t="s">
        <v>1364</v>
      </c>
      <c r="B45" t="s">
        <v>3641</v>
      </c>
      <c r="D45" t="b">
        <f>IFERROR(VLOOKUP(B45,PatData!$A$2:$A$2000,1,),"")&lt;&gt;""</f>
        <v>1</v>
      </c>
      <c r="F45" t="b">
        <v>0</v>
      </c>
      <c r="G45" t="b">
        <v>1</v>
      </c>
      <c r="H45" t="b">
        <v>0</v>
      </c>
      <c r="I45" t="b">
        <v>0</v>
      </c>
    </row>
    <row r="46" spans="1:9" x14ac:dyDescent="0.35">
      <c r="A46" t="s">
        <v>1365</v>
      </c>
      <c r="B46" t="s">
        <v>3642</v>
      </c>
      <c r="D46" t="b">
        <f>IFERROR(VLOOKUP(B46,PatData!$A$2:$A$2000,1,),"")&lt;&gt;""</f>
        <v>1</v>
      </c>
      <c r="F46" t="b">
        <v>0</v>
      </c>
      <c r="G46" t="b">
        <v>1</v>
      </c>
      <c r="H46" t="b">
        <v>0</v>
      </c>
      <c r="I46" t="b">
        <v>0</v>
      </c>
    </row>
    <row r="47" spans="1:9" x14ac:dyDescent="0.35">
      <c r="A47" t="s">
        <v>1366</v>
      </c>
      <c r="B47" t="s">
        <v>3643</v>
      </c>
      <c r="D47" t="b">
        <f>IFERROR(VLOOKUP(B47,PatData!$A$2:$A$2000,1,),"")&lt;&gt;""</f>
        <v>1</v>
      </c>
      <c r="F47" t="b">
        <v>0</v>
      </c>
      <c r="G47" t="b">
        <v>1</v>
      </c>
      <c r="H47" t="b">
        <v>0</v>
      </c>
      <c r="I47" t="b">
        <v>0</v>
      </c>
    </row>
    <row r="48" spans="1:9" x14ac:dyDescent="0.35">
      <c r="A48" t="s">
        <v>1367</v>
      </c>
      <c r="B48" t="s">
        <v>3644</v>
      </c>
      <c r="D48" t="b">
        <f>IFERROR(VLOOKUP(B48,PatData!$A$2:$A$2000,1,),"")&lt;&gt;""</f>
        <v>1</v>
      </c>
      <c r="F48" t="b">
        <v>0</v>
      </c>
      <c r="G48" t="b">
        <v>1</v>
      </c>
      <c r="H48" t="b">
        <v>0</v>
      </c>
      <c r="I48" t="b">
        <v>0</v>
      </c>
    </row>
    <row r="49" spans="1:9" x14ac:dyDescent="0.35">
      <c r="A49" t="s">
        <v>1368</v>
      </c>
      <c r="B49" t="s">
        <v>3645</v>
      </c>
      <c r="D49" t="b">
        <f>IFERROR(VLOOKUP(B49,PatData!$A$2:$A$2000,1,),"")&lt;&gt;""</f>
        <v>1</v>
      </c>
      <c r="F49" t="b">
        <v>0</v>
      </c>
      <c r="G49" t="b">
        <v>1</v>
      </c>
      <c r="H49" t="b">
        <v>0</v>
      </c>
      <c r="I49" t="b">
        <v>0</v>
      </c>
    </row>
    <row r="50" spans="1:9" x14ac:dyDescent="0.35">
      <c r="A50" t="s">
        <v>1369</v>
      </c>
      <c r="B50" t="s">
        <v>3646</v>
      </c>
      <c r="D50" t="b">
        <f>IFERROR(VLOOKUP(B50,PatData!$A$2:$A$2000,1,),"")&lt;&gt;""</f>
        <v>1</v>
      </c>
      <c r="F50" t="b">
        <v>0</v>
      </c>
      <c r="G50" t="b">
        <v>1</v>
      </c>
      <c r="H50" t="b">
        <v>0</v>
      </c>
      <c r="I50" t="b">
        <v>0</v>
      </c>
    </row>
    <row r="51" spans="1:9" x14ac:dyDescent="0.35">
      <c r="A51" t="s">
        <v>1370</v>
      </c>
      <c r="B51" t="s">
        <v>3647</v>
      </c>
      <c r="D51" t="b">
        <f>IFERROR(VLOOKUP(B51,PatData!$A$2:$A$2000,1,),"")&lt;&gt;""</f>
        <v>1</v>
      </c>
      <c r="F51" t="b">
        <v>0</v>
      </c>
      <c r="G51" t="b">
        <v>1</v>
      </c>
      <c r="H51" t="b">
        <v>0</v>
      </c>
      <c r="I51" t="b">
        <v>0</v>
      </c>
    </row>
    <row r="52" spans="1:9" x14ac:dyDescent="0.35">
      <c r="A52" t="s">
        <v>1371</v>
      </c>
      <c r="B52" t="s">
        <v>3648</v>
      </c>
      <c r="D52" t="b">
        <f>IFERROR(VLOOKUP(B52,PatData!$A$2:$A$2000,1,),"")&lt;&gt;""</f>
        <v>1</v>
      </c>
      <c r="F52" t="b">
        <v>0</v>
      </c>
      <c r="G52" t="b">
        <v>1</v>
      </c>
      <c r="H52" t="b">
        <v>0</v>
      </c>
      <c r="I52" t="b">
        <v>0</v>
      </c>
    </row>
    <row r="53" spans="1:9" x14ac:dyDescent="0.35">
      <c r="A53" t="s">
        <v>1372</v>
      </c>
      <c r="B53" t="s">
        <v>3649</v>
      </c>
      <c r="D53" t="b">
        <f>IFERROR(VLOOKUP(B53,PatData!$A$2:$A$2000,1,),"")&lt;&gt;""</f>
        <v>1</v>
      </c>
      <c r="F53" t="b">
        <v>0</v>
      </c>
      <c r="G53" t="b">
        <v>1</v>
      </c>
      <c r="H53" t="b">
        <v>0</v>
      </c>
      <c r="I53" t="b">
        <v>0</v>
      </c>
    </row>
    <row r="54" spans="1:9" x14ac:dyDescent="0.35">
      <c r="A54" t="s">
        <v>1373</v>
      </c>
      <c r="B54" t="s">
        <v>3650</v>
      </c>
      <c r="D54" t="b">
        <f>IFERROR(VLOOKUP(B54,PatData!$A$2:$A$2000,1,),"")&lt;&gt;""</f>
        <v>1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35">
      <c r="A55" t="s">
        <v>1374</v>
      </c>
      <c r="B55" t="s">
        <v>3651</v>
      </c>
      <c r="D55" t="b">
        <f>IFERROR(VLOOKUP(B55,PatData!$A$2:$A$2000,1,),"")&lt;&gt;""</f>
        <v>1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35">
      <c r="A56" t="s">
        <v>1375</v>
      </c>
      <c r="B56" t="s">
        <v>3652</v>
      </c>
      <c r="D56" t="b">
        <f>IFERROR(VLOOKUP(B56,PatData!$A$2:$A$2000,1,),"")&lt;&gt;""</f>
        <v>1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35">
      <c r="A57" t="s">
        <v>1376</v>
      </c>
      <c r="B57" t="s">
        <v>3653</v>
      </c>
      <c r="D57" t="b">
        <f>IFERROR(VLOOKUP(B57,PatData!$A$2:$A$2000,1,),"")&lt;&gt;""</f>
        <v>1</v>
      </c>
      <c r="F57" t="b">
        <v>0</v>
      </c>
      <c r="G57" t="b">
        <v>1</v>
      </c>
      <c r="H57" t="b">
        <v>0</v>
      </c>
      <c r="I57" t="b">
        <v>0</v>
      </c>
    </row>
    <row r="58" spans="1:9" x14ac:dyDescent="0.35">
      <c r="A58" t="s">
        <v>1377</v>
      </c>
      <c r="B58" t="s">
        <v>3654</v>
      </c>
      <c r="D58" t="b">
        <f>IFERROR(VLOOKUP(B58,PatData!$A$2:$A$2000,1,),"")&lt;&gt;""</f>
        <v>1</v>
      </c>
      <c r="F58" t="b">
        <v>0</v>
      </c>
      <c r="G58" t="b">
        <v>1</v>
      </c>
      <c r="H58" t="b">
        <v>0</v>
      </c>
      <c r="I58" t="b">
        <v>0</v>
      </c>
    </row>
    <row r="59" spans="1:9" x14ac:dyDescent="0.35">
      <c r="A59" t="s">
        <v>1378</v>
      </c>
      <c r="B59" t="s">
        <v>3655</v>
      </c>
      <c r="D59" t="b">
        <f>IFERROR(VLOOKUP(B59,PatData!$A$2:$A$2000,1,),"")&lt;&gt;""</f>
        <v>1</v>
      </c>
      <c r="F59" t="b">
        <v>0</v>
      </c>
      <c r="G59" t="b">
        <v>1</v>
      </c>
      <c r="H59" t="b">
        <v>0</v>
      </c>
      <c r="I59" t="b">
        <v>0</v>
      </c>
    </row>
    <row r="60" spans="1:9" x14ac:dyDescent="0.35">
      <c r="A60" t="s">
        <v>1379</v>
      </c>
      <c r="B60" t="s">
        <v>3656</v>
      </c>
      <c r="D60" t="b">
        <f>IFERROR(VLOOKUP(B60,PatData!$A$2:$A$2000,1,),"")&lt;&gt;""</f>
        <v>1</v>
      </c>
      <c r="F60" t="b">
        <v>0</v>
      </c>
      <c r="G60" t="b">
        <v>1</v>
      </c>
      <c r="H60" t="b">
        <v>0</v>
      </c>
      <c r="I60" t="b">
        <v>0</v>
      </c>
    </row>
    <row r="61" spans="1:9" x14ac:dyDescent="0.35">
      <c r="A61" t="s">
        <v>1380</v>
      </c>
      <c r="B61" t="s">
        <v>3657</v>
      </c>
      <c r="D61" t="b">
        <f>IFERROR(VLOOKUP(B61,PatData!$A$2:$A$2000,1,),"")&lt;&gt;""</f>
        <v>1</v>
      </c>
      <c r="F61" t="b">
        <v>0</v>
      </c>
      <c r="G61" t="b">
        <v>1</v>
      </c>
      <c r="H61" t="b">
        <v>0</v>
      </c>
      <c r="I61" t="b">
        <v>0</v>
      </c>
    </row>
    <row r="62" spans="1:9" x14ac:dyDescent="0.35">
      <c r="A62" t="s">
        <v>1381</v>
      </c>
      <c r="B62" t="s">
        <v>3658</v>
      </c>
      <c r="D62" t="b">
        <f>IFERROR(VLOOKUP(B62,PatData!$A$2:$A$2000,1,),"")&lt;&gt;""</f>
        <v>1</v>
      </c>
      <c r="F62" t="b">
        <v>0</v>
      </c>
      <c r="G62" t="b">
        <v>1</v>
      </c>
      <c r="H62" t="b">
        <v>0</v>
      </c>
      <c r="I62" t="b">
        <v>0</v>
      </c>
    </row>
    <row r="63" spans="1:9" x14ac:dyDescent="0.35">
      <c r="A63" t="s">
        <v>1382</v>
      </c>
      <c r="B63" t="s">
        <v>3659</v>
      </c>
      <c r="D63" t="b">
        <f>IFERROR(VLOOKUP(B63,PatData!$A$2:$A$2000,1,),"")&lt;&gt;""</f>
        <v>1</v>
      </c>
      <c r="F63" t="b">
        <v>0</v>
      </c>
      <c r="G63" t="b">
        <v>1</v>
      </c>
      <c r="H63" t="b">
        <v>0</v>
      </c>
      <c r="I63" t="b">
        <v>0</v>
      </c>
    </row>
    <row r="64" spans="1:9" x14ac:dyDescent="0.35">
      <c r="A64" t="s">
        <v>1383</v>
      </c>
      <c r="B64" t="s">
        <v>3660</v>
      </c>
      <c r="D64" t="b">
        <f>IFERROR(VLOOKUP(B64,PatData!$A$2:$A$2000,1,),"")&lt;&gt;""</f>
        <v>1</v>
      </c>
      <c r="F64" t="b">
        <v>0</v>
      </c>
      <c r="G64" t="b">
        <v>1</v>
      </c>
      <c r="H64" t="b">
        <v>0</v>
      </c>
      <c r="I64" t="b">
        <v>0</v>
      </c>
    </row>
    <row r="65" spans="1:9" x14ac:dyDescent="0.35">
      <c r="A65" t="s">
        <v>1384</v>
      </c>
      <c r="B65" t="s">
        <v>3661</v>
      </c>
      <c r="D65" t="b">
        <f>IFERROR(VLOOKUP(B65,PatData!$A$2:$A$2000,1,),"")&lt;&gt;""</f>
        <v>1</v>
      </c>
      <c r="F65" t="b">
        <v>0</v>
      </c>
      <c r="G65" t="b">
        <v>1</v>
      </c>
      <c r="H65" t="b">
        <v>0</v>
      </c>
      <c r="I65" t="b">
        <v>0</v>
      </c>
    </row>
    <row r="66" spans="1:9" x14ac:dyDescent="0.35">
      <c r="A66" t="s">
        <v>1385</v>
      </c>
      <c r="B66" t="s">
        <v>3662</v>
      </c>
      <c r="D66" t="b">
        <f>IFERROR(VLOOKUP(B66,PatData!$A$2:$A$2000,1,),"")&lt;&gt;""</f>
        <v>1</v>
      </c>
      <c r="F66" t="b">
        <v>0</v>
      </c>
      <c r="G66" t="b">
        <v>1</v>
      </c>
      <c r="H66" t="b">
        <v>0</v>
      </c>
      <c r="I66" t="b">
        <v>0</v>
      </c>
    </row>
    <row r="67" spans="1:9" x14ac:dyDescent="0.35">
      <c r="A67" t="s">
        <v>1386</v>
      </c>
      <c r="B67" t="s">
        <v>3663</v>
      </c>
      <c r="D67" t="b">
        <f>IFERROR(VLOOKUP(B67,PatData!$A$2:$A$2000,1,),"")&lt;&gt;""</f>
        <v>1</v>
      </c>
      <c r="F67" t="b">
        <v>0</v>
      </c>
      <c r="G67" t="b">
        <v>1</v>
      </c>
      <c r="H67" t="b">
        <v>0</v>
      </c>
      <c r="I67" t="b">
        <v>0</v>
      </c>
    </row>
    <row r="68" spans="1:9" x14ac:dyDescent="0.35">
      <c r="A68" t="s">
        <v>1387</v>
      </c>
      <c r="B68" t="s">
        <v>3664</v>
      </c>
      <c r="D68" t="b">
        <f>IFERROR(VLOOKUP(B68,PatData!$A$2:$A$2000,1,),"")&lt;&gt;""</f>
        <v>1</v>
      </c>
      <c r="F68" t="b">
        <v>0</v>
      </c>
      <c r="G68" t="b">
        <v>1</v>
      </c>
      <c r="H68" t="b">
        <v>0</v>
      </c>
      <c r="I68" t="b">
        <v>0</v>
      </c>
    </row>
    <row r="69" spans="1:9" x14ac:dyDescent="0.35">
      <c r="A69" t="s">
        <v>1388</v>
      </c>
      <c r="B69" t="s">
        <v>3665</v>
      </c>
      <c r="D69" t="b">
        <f>IFERROR(VLOOKUP(B69,PatData!$A$2:$A$2000,1,),"")&lt;&gt;""</f>
        <v>1</v>
      </c>
      <c r="F69" t="b">
        <v>0</v>
      </c>
      <c r="G69" t="b">
        <v>1</v>
      </c>
      <c r="H69" t="b">
        <v>0</v>
      </c>
      <c r="I69" t="b">
        <v>0</v>
      </c>
    </row>
    <row r="70" spans="1:9" x14ac:dyDescent="0.35">
      <c r="A70" t="s">
        <v>1389</v>
      </c>
      <c r="B70" t="s">
        <v>3666</v>
      </c>
      <c r="D70" t="b">
        <f>IFERROR(VLOOKUP(B70,PatData!$A$2:$A$2000,1,),"")&lt;&gt;""</f>
        <v>1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35">
      <c r="A71" t="s">
        <v>1390</v>
      </c>
      <c r="B71" t="s">
        <v>3667</v>
      </c>
      <c r="D71" t="b">
        <f>IFERROR(VLOOKUP(B71,PatData!$A$2:$A$2000,1,),"")&lt;&gt;""</f>
        <v>1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35">
      <c r="A72" t="s">
        <v>1391</v>
      </c>
      <c r="B72" t="s">
        <v>3668</v>
      </c>
      <c r="D72" t="b">
        <f>IFERROR(VLOOKUP(B72,PatData!$A$2:$A$2000,1,),"")&lt;&gt;""</f>
        <v>1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35">
      <c r="A73" t="s">
        <v>1392</v>
      </c>
      <c r="B73" t="s">
        <v>3669</v>
      </c>
      <c r="D73" t="b">
        <f>IFERROR(VLOOKUP(B73,PatData!$A$2:$A$2000,1,),"")&lt;&gt;""</f>
        <v>1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35">
      <c r="A74" t="s">
        <v>1393</v>
      </c>
      <c r="B74" t="s">
        <v>3670</v>
      </c>
      <c r="D74" t="b">
        <f>IFERROR(VLOOKUP(B74,PatData!$A$2:$A$2000,1,),"")&lt;&gt;""</f>
        <v>1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35">
      <c r="A75" t="s">
        <v>1394</v>
      </c>
      <c r="B75" t="s">
        <v>3671</v>
      </c>
      <c r="D75" t="b">
        <f>IFERROR(VLOOKUP(B75,PatData!$A$2:$A$2000,1,),"")&lt;&gt;""</f>
        <v>1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35">
      <c r="A76" t="s">
        <v>1395</v>
      </c>
      <c r="B76" t="s">
        <v>3672</v>
      </c>
      <c r="D76" t="b">
        <f>IFERROR(VLOOKUP(B76,PatData!$A$2:$A$2000,1,),"")&lt;&gt;""</f>
        <v>1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35">
      <c r="A77" t="s">
        <v>1396</v>
      </c>
      <c r="B77" t="s">
        <v>3673</v>
      </c>
      <c r="D77" t="b">
        <f>IFERROR(VLOOKUP(B77,PatData!$A$2:$A$2000,1,),"")&lt;&gt;""</f>
        <v>1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35">
      <c r="A78" t="s">
        <v>1397</v>
      </c>
      <c r="B78" t="s">
        <v>3674</v>
      </c>
      <c r="D78" t="b">
        <f>IFERROR(VLOOKUP(B78,PatData!$A$2:$A$2000,1,),"")&lt;&gt;""</f>
        <v>1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35">
      <c r="A79" t="s">
        <v>1398</v>
      </c>
      <c r="B79" t="s">
        <v>3675</v>
      </c>
      <c r="D79" t="b">
        <f>IFERROR(VLOOKUP(B79,PatData!$A$2:$A$2000,1,),"")&lt;&gt;""</f>
        <v>1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35">
      <c r="A80" t="s">
        <v>1399</v>
      </c>
      <c r="B80" t="s">
        <v>3676</v>
      </c>
      <c r="D80" t="b">
        <f>IFERROR(VLOOKUP(B80,PatData!$A$2:$A$2000,1,),"")&lt;&gt;""</f>
        <v>1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35">
      <c r="A81" t="s">
        <v>1400</v>
      </c>
      <c r="B81" t="s">
        <v>3677</v>
      </c>
      <c r="D81" t="b">
        <f>IFERROR(VLOOKUP(B81,PatData!$A$2:$A$2000,1,),"")&lt;&gt;""</f>
        <v>1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35">
      <c r="A82" t="s">
        <v>1401</v>
      </c>
      <c r="B82" t="s">
        <v>3678</v>
      </c>
      <c r="D82" t="b">
        <f>IFERROR(VLOOKUP(B82,PatData!$A$2:$A$2000,1,),"")&lt;&gt;""</f>
        <v>1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35">
      <c r="A83" t="s">
        <v>1402</v>
      </c>
      <c r="B83" t="s">
        <v>3679</v>
      </c>
      <c r="D83" t="b">
        <f>IFERROR(VLOOKUP(B83,PatData!$A$2:$A$2000,1,),"")&lt;&gt;""</f>
        <v>1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35">
      <c r="A84" t="s">
        <v>1403</v>
      </c>
      <c r="B84" t="s">
        <v>3680</v>
      </c>
      <c r="D84" t="b">
        <f>IFERROR(VLOOKUP(B84,PatData!$A$2:$A$2000,1,),"")&lt;&gt;""</f>
        <v>1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35">
      <c r="A85" t="s">
        <v>1404</v>
      </c>
      <c r="B85" t="s">
        <v>3681</v>
      </c>
      <c r="D85" t="b">
        <f>IFERROR(VLOOKUP(B85,PatData!$A$2:$A$2000,1,),"")&lt;&gt;""</f>
        <v>1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35">
      <c r="A86" t="s">
        <v>1405</v>
      </c>
      <c r="B86" t="s">
        <v>3682</v>
      </c>
      <c r="D86" t="b">
        <f>IFERROR(VLOOKUP(B86,PatData!$A$2:$A$2000,1,),"")&lt;&gt;""</f>
        <v>1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35">
      <c r="A87" t="s">
        <v>1406</v>
      </c>
      <c r="B87" t="s">
        <v>3683</v>
      </c>
      <c r="D87" t="b">
        <f>IFERROR(VLOOKUP(B87,PatData!$A$2:$A$2000,1,),"")&lt;&gt;""</f>
        <v>1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35">
      <c r="A88" t="s">
        <v>1407</v>
      </c>
      <c r="B88" t="s">
        <v>3684</v>
      </c>
      <c r="D88" t="b">
        <f>IFERROR(VLOOKUP(B88,PatData!$A$2:$A$2000,1,),"")&lt;&gt;""</f>
        <v>1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35">
      <c r="A89" t="s">
        <v>1408</v>
      </c>
      <c r="B89" t="s">
        <v>3685</v>
      </c>
      <c r="D89" t="b">
        <f>IFERROR(VLOOKUP(B89,PatData!$A$2:$A$2000,1,),"")&lt;&gt;""</f>
        <v>1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35">
      <c r="A90" t="s">
        <v>1409</v>
      </c>
      <c r="B90" t="s">
        <v>3686</v>
      </c>
      <c r="D90" t="b">
        <f>IFERROR(VLOOKUP(B90,PatData!$A$2:$A$2000,1,),"")&lt;&gt;""</f>
        <v>1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35">
      <c r="A91" t="s">
        <v>1410</v>
      </c>
      <c r="B91" t="s">
        <v>3687</v>
      </c>
      <c r="D91" t="b">
        <f>IFERROR(VLOOKUP(B91,PatData!$A$2:$A$2000,1,),"")&lt;&gt;""</f>
        <v>1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35">
      <c r="A92" t="s">
        <v>1411</v>
      </c>
      <c r="B92" t="s">
        <v>3688</v>
      </c>
      <c r="D92" t="b">
        <f>IFERROR(VLOOKUP(B92,PatData!$A$2:$A$2000,1,),"")&lt;&gt;""</f>
        <v>1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35">
      <c r="A93" t="s">
        <v>1412</v>
      </c>
      <c r="B93" t="s">
        <v>3689</v>
      </c>
      <c r="D93" t="b">
        <f>IFERROR(VLOOKUP(B93,PatData!$A$2:$A$2000,1,),"")&lt;&gt;""</f>
        <v>1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35">
      <c r="A94" t="s">
        <v>1413</v>
      </c>
      <c r="B94" t="s">
        <v>3690</v>
      </c>
      <c r="D94" t="b">
        <f>IFERROR(VLOOKUP(B94,PatData!$A$2:$A$2000,1,),"")&lt;&gt;""</f>
        <v>1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35">
      <c r="A95" t="s">
        <v>1414</v>
      </c>
      <c r="B95" t="s">
        <v>3691</v>
      </c>
      <c r="D95" t="b">
        <f>IFERROR(VLOOKUP(B95,PatData!$A$2:$A$2000,1,),"")&lt;&gt;""</f>
        <v>1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35">
      <c r="A96" t="s">
        <v>1415</v>
      </c>
      <c r="B96" t="s">
        <v>3692</v>
      </c>
      <c r="D96" t="b">
        <f>IFERROR(VLOOKUP(B96,PatData!$A$2:$A$2000,1,),"")&lt;&gt;""</f>
        <v>1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35">
      <c r="A97" t="s">
        <v>1416</v>
      </c>
      <c r="B97" t="s">
        <v>3693</v>
      </c>
      <c r="D97" t="b">
        <f>IFERROR(VLOOKUP(B97,PatData!$A$2:$A$2000,1,),"")&lt;&gt;""</f>
        <v>1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35">
      <c r="A98" t="s">
        <v>1417</v>
      </c>
      <c r="B98" t="s">
        <v>3694</v>
      </c>
      <c r="D98" t="b">
        <f>IFERROR(VLOOKUP(B98,PatData!$A$2:$A$2000,1,),"")&lt;&gt;""</f>
        <v>1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35">
      <c r="A99" t="s">
        <v>1418</v>
      </c>
      <c r="B99" t="s">
        <v>3695</v>
      </c>
      <c r="D99" t="b">
        <f>IFERROR(VLOOKUP(B99,PatData!$A$2:$A$2000,1,),"")&lt;&gt;""</f>
        <v>1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35">
      <c r="A100" t="s">
        <v>1419</v>
      </c>
      <c r="B100" t="s">
        <v>3696</v>
      </c>
      <c r="D100" t="b">
        <f>IFERROR(VLOOKUP(B100,PatData!$A$2:$A$2000,1,),"")&lt;&gt;""</f>
        <v>1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35">
      <c r="A101" t="s">
        <v>1420</v>
      </c>
      <c r="B101" t="s">
        <v>3697</v>
      </c>
      <c r="D101" t="b">
        <f>IFERROR(VLOOKUP(B101,PatData!$A$2:$A$2000,1,),"")&lt;&gt;""</f>
        <v>1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35">
      <c r="A102" t="s">
        <v>1421</v>
      </c>
      <c r="B102" t="s">
        <v>3698</v>
      </c>
      <c r="D102" t="b">
        <f>IFERROR(VLOOKUP(B102,PatData!$A$2:$A$2000,1,),"")&lt;&gt;""</f>
        <v>1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35">
      <c r="A103" t="s">
        <v>1422</v>
      </c>
      <c r="B103" t="s">
        <v>3699</v>
      </c>
      <c r="D103" t="b">
        <f>IFERROR(VLOOKUP(B103,PatData!$A$2:$A$2000,1,),"")&lt;&gt;""</f>
        <v>1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35">
      <c r="A104" t="s">
        <v>1423</v>
      </c>
      <c r="B104" t="s">
        <v>3700</v>
      </c>
      <c r="D104" t="b">
        <f>IFERROR(VLOOKUP(B104,PatData!$A$2:$A$2000,1,),"")&lt;&gt;""</f>
        <v>1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35">
      <c r="A105" t="s">
        <v>1424</v>
      </c>
      <c r="B105" t="s">
        <v>3701</v>
      </c>
      <c r="D105" t="b">
        <f>IFERROR(VLOOKUP(B105,PatData!$A$2:$A$2000,1,),"")&lt;&gt;""</f>
        <v>1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35">
      <c r="A106" t="s">
        <v>1425</v>
      </c>
      <c r="B106" t="s">
        <v>3702</v>
      </c>
      <c r="D106" t="b">
        <f>IFERROR(VLOOKUP(B106,PatData!$A$2:$A$2000,1,),"")&lt;&gt;""</f>
        <v>1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35">
      <c r="A107" t="s">
        <v>1426</v>
      </c>
      <c r="B107" t="s">
        <v>3703</v>
      </c>
      <c r="D107" t="b">
        <f>IFERROR(VLOOKUP(B107,PatData!$A$2:$A$2000,1,),"")&lt;&gt;""</f>
        <v>1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35">
      <c r="A108" t="s">
        <v>1427</v>
      </c>
      <c r="B108" t="s">
        <v>3704</v>
      </c>
      <c r="D108" t="b">
        <f>IFERROR(VLOOKUP(B108,PatData!$A$2:$A$2000,1,),"")&lt;&gt;""</f>
        <v>1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35">
      <c r="A109" t="s">
        <v>1428</v>
      </c>
      <c r="B109" t="s">
        <v>3705</v>
      </c>
      <c r="D109" t="b">
        <f>IFERROR(VLOOKUP(B109,PatData!$A$2:$A$2000,1,),"")&lt;&gt;""</f>
        <v>1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35">
      <c r="A110" t="s">
        <v>1429</v>
      </c>
      <c r="B110" t="s">
        <v>3706</v>
      </c>
      <c r="D110" t="b">
        <f>IFERROR(VLOOKUP(B110,PatData!$A$2:$A$2000,1,),"")&lt;&gt;""</f>
        <v>1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35">
      <c r="A111" t="s">
        <v>1430</v>
      </c>
      <c r="B111" t="s">
        <v>3707</v>
      </c>
      <c r="D111" t="b">
        <f>IFERROR(VLOOKUP(B111,PatData!$A$2:$A$2000,1,),"")&lt;&gt;""</f>
        <v>1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35">
      <c r="A112" t="s">
        <v>1431</v>
      </c>
      <c r="B112" t="s">
        <v>3708</v>
      </c>
      <c r="D112" t="b">
        <f>IFERROR(VLOOKUP(B112,PatData!$A$2:$A$2000,1,),"")&lt;&gt;""</f>
        <v>1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35">
      <c r="A113" t="s">
        <v>1432</v>
      </c>
      <c r="B113" t="s">
        <v>3709</v>
      </c>
      <c r="D113" t="b">
        <f>IFERROR(VLOOKUP(B113,PatData!$A$2:$A$2000,1,),"")&lt;&gt;""</f>
        <v>1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35">
      <c r="A114" t="s">
        <v>1433</v>
      </c>
      <c r="B114" t="s">
        <v>3710</v>
      </c>
      <c r="D114" t="b">
        <f>IFERROR(VLOOKUP(B114,PatData!$A$2:$A$2000,1,),"")&lt;&gt;""</f>
        <v>1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35">
      <c r="A115" t="s">
        <v>1434</v>
      </c>
      <c r="B115" t="s">
        <v>3711</v>
      </c>
      <c r="D115" t="b">
        <f>IFERROR(VLOOKUP(B115,PatData!$A$2:$A$2000,1,),"")&lt;&gt;""</f>
        <v>1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35">
      <c r="A116" t="s">
        <v>1435</v>
      </c>
      <c r="B116" t="s">
        <v>3712</v>
      </c>
      <c r="D116" t="b">
        <f>IFERROR(VLOOKUP(B116,PatData!$A$2:$A$2000,1,),"")&lt;&gt;""</f>
        <v>1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35">
      <c r="A117" t="s">
        <v>1436</v>
      </c>
      <c r="B117" t="s">
        <v>3713</v>
      </c>
      <c r="D117" t="b">
        <f>IFERROR(VLOOKUP(B117,PatData!$A$2:$A$2000,1,),"")&lt;&gt;""</f>
        <v>1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35">
      <c r="A118" t="s">
        <v>1437</v>
      </c>
      <c r="B118" t="s">
        <v>3714</v>
      </c>
      <c r="D118" t="b">
        <f>IFERROR(VLOOKUP(B118,PatData!$A$2:$A$2000,1,),"")&lt;&gt;""</f>
        <v>1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35">
      <c r="A119" t="s">
        <v>1438</v>
      </c>
      <c r="B119" t="s">
        <v>3715</v>
      </c>
      <c r="D119" t="b">
        <f>IFERROR(VLOOKUP(B119,PatData!$A$2:$A$2000,1,),"")&lt;&gt;""</f>
        <v>1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35">
      <c r="A120" t="s">
        <v>1439</v>
      </c>
      <c r="B120" t="s">
        <v>3716</v>
      </c>
      <c r="D120" t="b">
        <f>IFERROR(VLOOKUP(B120,PatData!$A$2:$A$2000,1,),"")&lt;&gt;""</f>
        <v>1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35">
      <c r="A121" t="s">
        <v>1440</v>
      </c>
      <c r="B121" t="s">
        <v>3717</v>
      </c>
      <c r="D121" t="b">
        <f>IFERROR(VLOOKUP(B121,PatData!$A$2:$A$2000,1,),"")&lt;&gt;""</f>
        <v>1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35">
      <c r="A122" t="s">
        <v>1441</v>
      </c>
      <c r="B122" t="s">
        <v>3718</v>
      </c>
      <c r="D122" t="b">
        <f>IFERROR(VLOOKUP(B122,PatData!$A$2:$A$2000,1,),"")&lt;&gt;""</f>
        <v>1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35">
      <c r="A123" t="s">
        <v>1442</v>
      </c>
      <c r="B123" t="s">
        <v>3719</v>
      </c>
      <c r="D123" t="b">
        <f>IFERROR(VLOOKUP(B123,PatData!$A$2:$A$2000,1,),"")&lt;&gt;""</f>
        <v>1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35">
      <c r="A124" t="s">
        <v>1443</v>
      </c>
      <c r="B124" t="s">
        <v>3720</v>
      </c>
      <c r="D124" t="b">
        <f>IFERROR(VLOOKUP(B124,PatData!$A$2:$A$2000,1,),"")&lt;&gt;""</f>
        <v>1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35">
      <c r="A125" t="s">
        <v>1444</v>
      </c>
      <c r="B125" t="s">
        <v>3721</v>
      </c>
      <c r="D125" t="b">
        <f>IFERROR(VLOOKUP(B125,PatData!$A$2:$A$2000,1,),"")&lt;&gt;""</f>
        <v>1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35">
      <c r="A126" t="s">
        <v>1445</v>
      </c>
      <c r="B126" t="s">
        <v>3722</v>
      </c>
      <c r="D126" t="b">
        <f>IFERROR(VLOOKUP(B126,PatData!$A$2:$A$2000,1,),"")&lt;&gt;""</f>
        <v>1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35">
      <c r="A127" t="s">
        <v>1446</v>
      </c>
      <c r="B127" t="s">
        <v>3723</v>
      </c>
      <c r="D127" t="b">
        <f>IFERROR(VLOOKUP(B127,PatData!$A$2:$A$2000,1,),"")&lt;&gt;""</f>
        <v>1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35">
      <c r="A128" t="s">
        <v>1447</v>
      </c>
      <c r="B128" t="s">
        <v>3724</v>
      </c>
      <c r="D128" t="b">
        <f>IFERROR(VLOOKUP(B128,PatData!$A$2:$A$2000,1,),"")&lt;&gt;""</f>
        <v>1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35">
      <c r="A129" t="s">
        <v>1448</v>
      </c>
      <c r="B129" t="s">
        <v>3725</v>
      </c>
      <c r="D129" t="b">
        <f>IFERROR(VLOOKUP(B129,PatData!$A$2:$A$2000,1,),"")&lt;&gt;""</f>
        <v>1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35">
      <c r="A130" t="s">
        <v>1449</v>
      </c>
      <c r="B130" t="s">
        <v>3726</v>
      </c>
      <c r="D130" t="b">
        <f>IFERROR(VLOOKUP(B130,PatData!$A$2:$A$2000,1,),"")&lt;&gt;""</f>
        <v>1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35">
      <c r="A131" t="s">
        <v>1450</v>
      </c>
      <c r="B131" t="s">
        <v>3727</v>
      </c>
      <c r="D131" t="b">
        <f>IFERROR(VLOOKUP(B131,PatData!$A$2:$A$2000,1,),"")&lt;&gt;""</f>
        <v>1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35">
      <c r="A132" t="s">
        <v>1451</v>
      </c>
      <c r="B132" t="s">
        <v>3728</v>
      </c>
      <c r="D132" t="b">
        <f>IFERROR(VLOOKUP(B132,PatData!$A$2:$A$2000,1,),"")&lt;&gt;""</f>
        <v>1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35">
      <c r="A133" t="s">
        <v>1452</v>
      </c>
      <c r="B133" t="s">
        <v>3729</v>
      </c>
      <c r="D133" t="b">
        <f>IFERROR(VLOOKUP(B133,PatData!$A$2:$A$2000,1,),"")&lt;&gt;""</f>
        <v>1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35">
      <c r="A134" t="s">
        <v>1453</v>
      </c>
      <c r="B134" t="s">
        <v>3730</v>
      </c>
      <c r="D134" t="b">
        <f>IFERROR(VLOOKUP(B134,PatData!$A$2:$A$2000,1,),"")&lt;&gt;""</f>
        <v>1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35">
      <c r="A135" t="s">
        <v>1454</v>
      </c>
      <c r="B135" t="s">
        <v>3731</v>
      </c>
      <c r="D135" t="b">
        <f>IFERROR(VLOOKUP(B135,PatData!$A$2:$A$2000,1,),"")&lt;&gt;""</f>
        <v>1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35">
      <c r="A136" t="s">
        <v>1455</v>
      </c>
      <c r="B136" t="s">
        <v>3732</v>
      </c>
      <c r="D136" t="b">
        <f>IFERROR(VLOOKUP(B136,PatData!$A$2:$A$2000,1,),"")&lt;&gt;""</f>
        <v>1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35">
      <c r="A137" t="s">
        <v>1456</v>
      </c>
      <c r="B137" t="s">
        <v>3733</v>
      </c>
      <c r="D137" t="b">
        <f>IFERROR(VLOOKUP(B137,PatData!$A$2:$A$2000,1,),"")&lt;&gt;""</f>
        <v>1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35">
      <c r="A138" t="s">
        <v>1457</v>
      </c>
      <c r="B138" t="s">
        <v>3734</v>
      </c>
      <c r="D138" t="b">
        <f>IFERROR(VLOOKUP(B138,PatData!$A$2:$A$2000,1,),"")&lt;&gt;""</f>
        <v>1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35">
      <c r="A139" t="s">
        <v>1458</v>
      </c>
      <c r="B139" t="s">
        <v>3735</v>
      </c>
      <c r="D139" t="b">
        <f>IFERROR(VLOOKUP(B139,PatData!$A$2:$A$2000,1,),"")&lt;&gt;""</f>
        <v>1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35">
      <c r="A140" t="s">
        <v>1459</v>
      </c>
      <c r="B140" t="s">
        <v>3736</v>
      </c>
      <c r="D140" t="b">
        <f>IFERROR(VLOOKUP(B140,PatData!$A$2:$A$2000,1,),"")&lt;&gt;""</f>
        <v>1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35">
      <c r="A141" t="s">
        <v>1460</v>
      </c>
      <c r="B141" t="s">
        <v>3737</v>
      </c>
      <c r="D141" t="b">
        <f>IFERROR(VLOOKUP(B141,PatData!$A$2:$A$2000,1,),"")&lt;&gt;""</f>
        <v>1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35">
      <c r="A142" t="s">
        <v>1461</v>
      </c>
      <c r="B142" t="s">
        <v>3738</v>
      </c>
      <c r="D142" t="b">
        <f>IFERROR(VLOOKUP(B142,PatData!$A$2:$A$2000,1,),"")&lt;&gt;""</f>
        <v>1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35">
      <c r="A143" t="s">
        <v>1462</v>
      </c>
      <c r="B143" t="s">
        <v>3739</v>
      </c>
      <c r="D143" t="b">
        <f>IFERROR(VLOOKUP(B143,PatData!$A$2:$A$2000,1,),"")&lt;&gt;""</f>
        <v>1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35">
      <c r="A144" t="s">
        <v>1463</v>
      </c>
      <c r="B144" t="s">
        <v>3740</v>
      </c>
      <c r="D144" t="b">
        <f>IFERROR(VLOOKUP(B144,PatData!$A$2:$A$2000,1,),"")&lt;&gt;""</f>
        <v>1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35">
      <c r="A145" t="s">
        <v>1464</v>
      </c>
      <c r="B145" t="s">
        <v>3741</v>
      </c>
      <c r="D145" t="b">
        <f>IFERROR(VLOOKUP(B145,PatData!$A$2:$A$2000,1,),"")&lt;&gt;""</f>
        <v>1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35">
      <c r="A146" t="s">
        <v>1465</v>
      </c>
      <c r="B146" t="s">
        <v>3742</v>
      </c>
      <c r="D146" t="b">
        <f>IFERROR(VLOOKUP(B146,PatData!$A$2:$A$2000,1,),"")&lt;&gt;""</f>
        <v>1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35">
      <c r="A147" t="s">
        <v>1466</v>
      </c>
      <c r="B147" t="s">
        <v>3743</v>
      </c>
      <c r="D147" t="b">
        <f>IFERROR(VLOOKUP(B147,PatData!$A$2:$A$2000,1,),"")&lt;&gt;""</f>
        <v>1</v>
      </c>
      <c r="F147" t="b">
        <v>0</v>
      </c>
      <c r="G147" t="b">
        <v>1</v>
      </c>
      <c r="H147" t="b">
        <v>0</v>
      </c>
      <c r="I147" t="b">
        <v>0</v>
      </c>
    </row>
    <row r="148" spans="1:9" x14ac:dyDescent="0.35">
      <c r="A148" t="s">
        <v>1467</v>
      </c>
      <c r="B148" t="s">
        <v>3744</v>
      </c>
      <c r="D148" t="b">
        <f>IFERROR(VLOOKUP(B148,PatData!$A$2:$A$2000,1,),"")&lt;&gt;""</f>
        <v>1</v>
      </c>
      <c r="F148" t="b">
        <v>0</v>
      </c>
      <c r="G148" t="b">
        <v>1</v>
      </c>
      <c r="H148" t="b">
        <v>0</v>
      </c>
      <c r="I148" t="b">
        <v>0</v>
      </c>
    </row>
    <row r="149" spans="1:9" x14ac:dyDescent="0.35">
      <c r="A149" t="s">
        <v>1468</v>
      </c>
      <c r="B149" t="s">
        <v>3745</v>
      </c>
      <c r="D149" t="b">
        <f>IFERROR(VLOOKUP(B149,PatData!$A$2:$A$2000,1,),"")&lt;&gt;""</f>
        <v>1</v>
      </c>
      <c r="F149" t="b">
        <v>0</v>
      </c>
      <c r="G149" t="b">
        <v>1</v>
      </c>
      <c r="H149" t="b">
        <v>0</v>
      </c>
      <c r="I149" t="b">
        <v>0</v>
      </c>
    </row>
    <row r="150" spans="1:9" x14ac:dyDescent="0.35">
      <c r="A150" t="s">
        <v>1469</v>
      </c>
      <c r="B150" t="s">
        <v>3746</v>
      </c>
      <c r="D150" t="b">
        <f>IFERROR(VLOOKUP(B150,PatData!$A$2:$A$2000,1,),"")&lt;&gt;""</f>
        <v>1</v>
      </c>
      <c r="F150" t="b">
        <v>0</v>
      </c>
      <c r="G150" t="b">
        <v>1</v>
      </c>
      <c r="H150" t="b">
        <v>0</v>
      </c>
      <c r="I150" t="b">
        <v>0</v>
      </c>
    </row>
    <row r="151" spans="1:9" x14ac:dyDescent="0.35">
      <c r="A151" t="s">
        <v>1470</v>
      </c>
      <c r="B151" t="s">
        <v>3747</v>
      </c>
      <c r="D151" t="b">
        <f>IFERROR(VLOOKUP(B151,PatData!$A$2:$A$2000,1,),"")&lt;&gt;""</f>
        <v>1</v>
      </c>
      <c r="F151" t="b">
        <v>0</v>
      </c>
      <c r="G151" t="b">
        <v>1</v>
      </c>
      <c r="H151" t="b">
        <v>0</v>
      </c>
      <c r="I151" t="b">
        <v>0</v>
      </c>
    </row>
    <row r="152" spans="1:9" x14ac:dyDescent="0.35">
      <c r="A152" t="s">
        <v>1471</v>
      </c>
      <c r="B152" t="s">
        <v>3748</v>
      </c>
      <c r="D152" t="b">
        <f>IFERROR(VLOOKUP(B152,PatData!$A$2:$A$2000,1,),"")&lt;&gt;""</f>
        <v>1</v>
      </c>
      <c r="F152" t="b">
        <v>0</v>
      </c>
      <c r="G152" t="b">
        <v>1</v>
      </c>
      <c r="H152" t="b">
        <v>0</v>
      </c>
      <c r="I152" t="b">
        <v>0</v>
      </c>
    </row>
    <row r="153" spans="1:9" x14ac:dyDescent="0.35">
      <c r="A153" t="s">
        <v>1472</v>
      </c>
      <c r="B153" t="s">
        <v>3749</v>
      </c>
      <c r="D153" t="b">
        <f>IFERROR(VLOOKUP(B153,PatData!$A$2:$A$2000,1,),"")&lt;&gt;""</f>
        <v>1</v>
      </c>
      <c r="F153" t="b">
        <v>0</v>
      </c>
      <c r="G153" t="b">
        <v>1</v>
      </c>
      <c r="H153" t="b">
        <v>0</v>
      </c>
      <c r="I153" t="b">
        <v>0</v>
      </c>
    </row>
    <row r="154" spans="1:9" x14ac:dyDescent="0.35">
      <c r="A154" t="s">
        <v>1473</v>
      </c>
      <c r="B154" t="s">
        <v>3750</v>
      </c>
      <c r="D154" t="b">
        <f>IFERROR(VLOOKUP(B154,PatData!$A$2:$A$2000,1,),"")&lt;&gt;""</f>
        <v>1</v>
      </c>
      <c r="F154" t="b">
        <v>0</v>
      </c>
      <c r="G154" t="b">
        <v>1</v>
      </c>
      <c r="H154" t="b">
        <v>0</v>
      </c>
      <c r="I154" t="b">
        <v>0</v>
      </c>
    </row>
    <row r="155" spans="1:9" x14ac:dyDescent="0.35">
      <c r="A155" t="s">
        <v>1474</v>
      </c>
      <c r="B155" t="s">
        <v>3751</v>
      </c>
      <c r="D155" t="b">
        <f>IFERROR(VLOOKUP(B155,PatData!$A$2:$A$2000,1,),"")&lt;&gt;""</f>
        <v>1</v>
      </c>
      <c r="F155" t="b">
        <v>0</v>
      </c>
      <c r="G155" t="b">
        <v>1</v>
      </c>
      <c r="H155" t="b">
        <v>0</v>
      </c>
      <c r="I155" t="b">
        <v>0</v>
      </c>
    </row>
    <row r="156" spans="1:9" x14ac:dyDescent="0.35">
      <c r="A156" t="s">
        <v>1475</v>
      </c>
      <c r="B156" t="s">
        <v>3752</v>
      </c>
      <c r="D156" t="b">
        <f>IFERROR(VLOOKUP(B156,PatData!$A$2:$A$2000,1,),"")&lt;&gt;""</f>
        <v>1</v>
      </c>
      <c r="F156" t="b">
        <v>0</v>
      </c>
      <c r="G156" t="b">
        <v>1</v>
      </c>
      <c r="H156" t="b">
        <v>0</v>
      </c>
      <c r="I156" t="b">
        <v>0</v>
      </c>
    </row>
    <row r="157" spans="1:9" x14ac:dyDescent="0.35">
      <c r="A157" t="s">
        <v>1476</v>
      </c>
      <c r="B157" t="s">
        <v>3753</v>
      </c>
      <c r="D157" t="b">
        <f>IFERROR(VLOOKUP(B157,PatData!$A$2:$A$2000,1,),"")&lt;&gt;""</f>
        <v>1</v>
      </c>
      <c r="F157" t="b">
        <v>0</v>
      </c>
      <c r="G157" t="b">
        <v>1</v>
      </c>
      <c r="H157" t="b">
        <v>0</v>
      </c>
      <c r="I157" t="b">
        <v>0</v>
      </c>
    </row>
    <row r="158" spans="1:9" x14ac:dyDescent="0.35">
      <c r="A158" t="s">
        <v>1477</v>
      </c>
      <c r="B158" t="s">
        <v>3754</v>
      </c>
      <c r="D158" t="b">
        <f>IFERROR(VLOOKUP(B158,PatData!$A$2:$A$2000,1,),"")&lt;&gt;""</f>
        <v>1</v>
      </c>
      <c r="F158" t="b">
        <v>0</v>
      </c>
      <c r="G158" t="b">
        <v>1</v>
      </c>
      <c r="H158" t="b">
        <v>0</v>
      </c>
      <c r="I158" t="b">
        <v>0</v>
      </c>
    </row>
    <row r="159" spans="1:9" x14ac:dyDescent="0.35">
      <c r="A159" t="s">
        <v>1478</v>
      </c>
      <c r="B159" t="s">
        <v>3755</v>
      </c>
      <c r="D159" t="b">
        <f>IFERROR(VLOOKUP(B159,PatData!$A$2:$A$2000,1,),"")&lt;&gt;""</f>
        <v>1</v>
      </c>
      <c r="F159" t="b">
        <v>0</v>
      </c>
      <c r="G159" t="b">
        <v>1</v>
      </c>
      <c r="H159" t="b">
        <v>0</v>
      </c>
      <c r="I159" t="b">
        <v>0</v>
      </c>
    </row>
    <row r="160" spans="1:9" x14ac:dyDescent="0.35">
      <c r="A160" t="s">
        <v>1479</v>
      </c>
      <c r="B160" t="s">
        <v>3756</v>
      </c>
      <c r="D160" t="b">
        <f>IFERROR(VLOOKUP(B160,PatData!$A$2:$A$2000,1,),"")&lt;&gt;""</f>
        <v>1</v>
      </c>
      <c r="F160" t="b">
        <v>0</v>
      </c>
      <c r="G160" t="b">
        <v>1</v>
      </c>
      <c r="H160" t="b">
        <v>0</v>
      </c>
      <c r="I160" t="b">
        <v>0</v>
      </c>
    </row>
    <row r="161" spans="1:9" x14ac:dyDescent="0.35">
      <c r="A161" t="s">
        <v>1480</v>
      </c>
      <c r="B161" t="s">
        <v>3757</v>
      </c>
      <c r="D161" t="b">
        <f>IFERROR(VLOOKUP(B161,PatData!$A$2:$A$2000,1,),"")&lt;&gt;""</f>
        <v>1</v>
      </c>
      <c r="F161" t="b">
        <v>0</v>
      </c>
      <c r="G161" t="b">
        <v>1</v>
      </c>
      <c r="H161" t="b">
        <v>0</v>
      </c>
      <c r="I161" t="b">
        <v>0</v>
      </c>
    </row>
    <row r="162" spans="1:9" x14ac:dyDescent="0.35">
      <c r="A162" t="s">
        <v>1481</v>
      </c>
      <c r="B162" t="s">
        <v>3758</v>
      </c>
      <c r="D162" t="b">
        <f>IFERROR(VLOOKUP(B162,PatData!$A$2:$A$2000,1,),"")&lt;&gt;""</f>
        <v>1</v>
      </c>
      <c r="F162" t="b">
        <v>0</v>
      </c>
      <c r="G162" t="b">
        <v>1</v>
      </c>
      <c r="H162" t="b">
        <v>0</v>
      </c>
      <c r="I162" t="b">
        <v>0</v>
      </c>
    </row>
    <row r="163" spans="1:9" x14ac:dyDescent="0.35">
      <c r="A163" t="s">
        <v>1482</v>
      </c>
      <c r="B163" t="s">
        <v>3759</v>
      </c>
      <c r="D163" t="b">
        <f>IFERROR(VLOOKUP(B163,PatData!$A$2:$A$2000,1,),"")&lt;&gt;""</f>
        <v>1</v>
      </c>
      <c r="F163" t="b">
        <v>0</v>
      </c>
      <c r="G163" t="b">
        <v>1</v>
      </c>
      <c r="H163" t="b">
        <v>0</v>
      </c>
      <c r="I163" t="b">
        <v>0</v>
      </c>
    </row>
    <row r="164" spans="1:9" x14ac:dyDescent="0.35">
      <c r="A164" t="s">
        <v>1483</v>
      </c>
      <c r="B164" t="s">
        <v>3760</v>
      </c>
      <c r="D164" t="b">
        <f>IFERROR(VLOOKUP(B164,PatData!$A$2:$A$2000,1,),"")&lt;&gt;""</f>
        <v>1</v>
      </c>
      <c r="F164" t="b">
        <v>0</v>
      </c>
      <c r="G164" t="b">
        <v>1</v>
      </c>
      <c r="H164" t="b">
        <v>0</v>
      </c>
      <c r="I164" t="b">
        <v>0</v>
      </c>
    </row>
    <row r="165" spans="1:9" x14ac:dyDescent="0.35">
      <c r="A165" t="s">
        <v>1484</v>
      </c>
      <c r="B165" t="s">
        <v>3761</v>
      </c>
      <c r="D165" t="b">
        <f>IFERROR(VLOOKUP(B165,PatData!$A$2:$A$2000,1,),"")&lt;&gt;""</f>
        <v>1</v>
      </c>
      <c r="F165" t="b">
        <v>0</v>
      </c>
      <c r="G165" t="b">
        <v>1</v>
      </c>
      <c r="H165" t="b">
        <v>0</v>
      </c>
      <c r="I165" t="b">
        <v>0</v>
      </c>
    </row>
    <row r="166" spans="1:9" x14ac:dyDescent="0.35">
      <c r="A166" t="s">
        <v>1485</v>
      </c>
      <c r="B166" t="s">
        <v>3762</v>
      </c>
      <c r="D166" t="b">
        <f>IFERROR(VLOOKUP(B166,PatData!$A$2:$A$2000,1,),"")&lt;&gt;""</f>
        <v>1</v>
      </c>
      <c r="F166" t="b">
        <v>0</v>
      </c>
      <c r="G166" t="b">
        <v>1</v>
      </c>
      <c r="H166" t="b">
        <v>0</v>
      </c>
      <c r="I166" t="b">
        <v>0</v>
      </c>
    </row>
    <row r="167" spans="1:9" x14ac:dyDescent="0.35">
      <c r="A167" t="s">
        <v>1486</v>
      </c>
      <c r="B167" t="s">
        <v>3763</v>
      </c>
      <c r="D167" t="b">
        <f>IFERROR(VLOOKUP(B167,PatData!$A$2:$A$2000,1,),"")&lt;&gt;""</f>
        <v>1</v>
      </c>
      <c r="F167" t="b">
        <v>0</v>
      </c>
      <c r="G167" t="b">
        <v>1</v>
      </c>
      <c r="H167" t="b">
        <v>0</v>
      </c>
      <c r="I167" t="b">
        <v>0</v>
      </c>
    </row>
    <row r="168" spans="1:9" x14ac:dyDescent="0.35">
      <c r="A168" t="s">
        <v>1487</v>
      </c>
      <c r="B168" t="s">
        <v>3764</v>
      </c>
      <c r="D168" t="b">
        <f>IFERROR(VLOOKUP(B168,PatData!$A$2:$A$2000,1,),"")&lt;&gt;""</f>
        <v>1</v>
      </c>
      <c r="F168" t="b">
        <v>0</v>
      </c>
      <c r="G168" t="b">
        <v>1</v>
      </c>
      <c r="H168" t="b">
        <v>0</v>
      </c>
      <c r="I168" t="b">
        <v>0</v>
      </c>
    </row>
    <row r="169" spans="1:9" x14ac:dyDescent="0.35">
      <c r="A169" t="s">
        <v>1488</v>
      </c>
      <c r="B169" t="s">
        <v>3765</v>
      </c>
      <c r="D169" t="b">
        <f>IFERROR(VLOOKUP(B169,PatData!$A$2:$A$2000,1,),"")&lt;&gt;""</f>
        <v>1</v>
      </c>
      <c r="F169" t="b">
        <v>0</v>
      </c>
      <c r="G169" t="b">
        <v>1</v>
      </c>
      <c r="H169" t="b">
        <v>0</v>
      </c>
      <c r="I169" t="b">
        <v>0</v>
      </c>
    </row>
    <row r="170" spans="1:9" x14ac:dyDescent="0.35">
      <c r="A170" t="s">
        <v>1489</v>
      </c>
      <c r="B170" t="s">
        <v>3766</v>
      </c>
      <c r="D170" t="b">
        <f>IFERROR(VLOOKUP(B170,PatData!$A$2:$A$2000,1,),"")&lt;&gt;""</f>
        <v>1</v>
      </c>
      <c r="F170" t="b">
        <v>0</v>
      </c>
      <c r="G170" t="b">
        <v>1</v>
      </c>
      <c r="H170" t="b">
        <v>0</v>
      </c>
      <c r="I170" t="b">
        <v>0</v>
      </c>
    </row>
    <row r="171" spans="1:9" x14ac:dyDescent="0.35">
      <c r="A171" t="s">
        <v>1490</v>
      </c>
      <c r="B171" t="s">
        <v>3767</v>
      </c>
      <c r="D171" t="b">
        <f>IFERROR(VLOOKUP(B171,PatData!$A$2:$A$2000,1,),"")&lt;&gt;""</f>
        <v>1</v>
      </c>
      <c r="F171" t="b">
        <v>0</v>
      </c>
      <c r="G171" t="b">
        <v>1</v>
      </c>
      <c r="H171" t="b">
        <v>0</v>
      </c>
      <c r="I171" t="b">
        <v>0</v>
      </c>
    </row>
    <row r="172" spans="1:9" x14ac:dyDescent="0.35">
      <c r="A172" t="s">
        <v>1491</v>
      </c>
      <c r="B172" t="s">
        <v>3768</v>
      </c>
      <c r="D172" t="b">
        <f>IFERROR(VLOOKUP(B172,PatData!$A$2:$A$2000,1,),"")&lt;&gt;""</f>
        <v>1</v>
      </c>
      <c r="F172" t="b">
        <v>0</v>
      </c>
      <c r="G172" t="b">
        <v>1</v>
      </c>
      <c r="H172" t="b">
        <v>0</v>
      </c>
      <c r="I172" t="b">
        <v>0</v>
      </c>
    </row>
    <row r="173" spans="1:9" x14ac:dyDescent="0.35">
      <c r="A173" t="s">
        <v>1492</v>
      </c>
      <c r="B173" t="s">
        <v>3769</v>
      </c>
      <c r="D173" t="b">
        <f>IFERROR(VLOOKUP(B173,PatData!$A$2:$A$2000,1,),"")&lt;&gt;""</f>
        <v>1</v>
      </c>
      <c r="F173" t="b">
        <v>0</v>
      </c>
      <c r="G173" t="b">
        <v>1</v>
      </c>
      <c r="H173" t="b">
        <v>0</v>
      </c>
      <c r="I173" t="b">
        <v>0</v>
      </c>
    </row>
    <row r="174" spans="1:9" x14ac:dyDescent="0.35">
      <c r="A174" t="s">
        <v>1493</v>
      </c>
      <c r="B174" t="s">
        <v>3770</v>
      </c>
      <c r="D174" t="b">
        <f>IFERROR(VLOOKUP(B174,PatData!$A$2:$A$2000,1,),"")&lt;&gt;""</f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35">
      <c r="A175" t="s">
        <v>1494</v>
      </c>
      <c r="B175" t="s">
        <v>3771</v>
      </c>
      <c r="D175" t="b">
        <f>IFERROR(VLOOKUP(B175,PatData!$A$2:$A$2000,1,),"")&lt;&gt;""</f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35">
      <c r="A176" t="s">
        <v>1495</v>
      </c>
      <c r="B176" t="s">
        <v>3772</v>
      </c>
      <c r="D176" t="b">
        <f>IFERROR(VLOOKUP(B176,PatData!$A$2:$A$2000,1,),"")&lt;&gt;""</f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35">
      <c r="A177" t="s">
        <v>1496</v>
      </c>
      <c r="B177" t="s">
        <v>3773</v>
      </c>
      <c r="D177" t="b">
        <f>IFERROR(VLOOKUP(B177,PatData!$A$2:$A$2000,1,),"")&lt;&gt;""</f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35">
      <c r="A178" t="s">
        <v>1497</v>
      </c>
      <c r="B178" t="s">
        <v>3774</v>
      </c>
      <c r="D178" t="b">
        <f>IFERROR(VLOOKUP(B178,PatData!$A$2:$A$2000,1,),"")&lt;&gt;""</f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35">
      <c r="A179" t="s">
        <v>1498</v>
      </c>
      <c r="B179" t="s">
        <v>3775</v>
      </c>
      <c r="D179" t="b">
        <f>IFERROR(VLOOKUP(B179,PatData!$A$2:$A$2000,1,),"")&lt;&gt;""</f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35">
      <c r="A180" t="s">
        <v>1499</v>
      </c>
      <c r="B180" t="s">
        <v>3776</v>
      </c>
      <c r="D180" t="b">
        <f>IFERROR(VLOOKUP(B180,PatData!$A$2:$A$2000,1,),"")&lt;&gt;""</f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35">
      <c r="A181" t="s">
        <v>1500</v>
      </c>
      <c r="B181" t="s">
        <v>3777</v>
      </c>
      <c r="D181" t="b">
        <f>IFERROR(VLOOKUP(B181,PatData!$A$2:$A$2000,1,),"")&lt;&gt;""</f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35">
      <c r="A182" t="s">
        <v>1501</v>
      </c>
      <c r="B182" t="s">
        <v>3778</v>
      </c>
      <c r="D182" t="b">
        <f>IFERROR(VLOOKUP(B182,PatData!$A$2:$A$2000,1,),"")&lt;&gt;""</f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35">
      <c r="A183" t="s">
        <v>1502</v>
      </c>
      <c r="B183" t="s">
        <v>3779</v>
      </c>
      <c r="D183" t="b">
        <f>IFERROR(VLOOKUP(B183,PatData!$A$2:$A$2000,1,),"")&lt;&gt;""</f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35">
      <c r="A184" t="s">
        <v>1503</v>
      </c>
      <c r="B184" t="s">
        <v>3780</v>
      </c>
      <c r="D184" t="b">
        <f>IFERROR(VLOOKUP(B184,PatData!$A$2:$A$2000,1,),"")&lt;&gt;""</f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35">
      <c r="A185" t="s">
        <v>1504</v>
      </c>
      <c r="B185" t="s">
        <v>3781</v>
      </c>
      <c r="D185" t="b">
        <f>IFERROR(VLOOKUP(B185,PatData!$A$2:$A$2000,1,),"")&lt;&gt;""</f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35">
      <c r="A186" t="s">
        <v>1505</v>
      </c>
      <c r="B186" t="s">
        <v>3782</v>
      </c>
      <c r="D186" t="b">
        <f>IFERROR(VLOOKUP(B186,PatData!$A$2:$A$2000,1,),"")&lt;&gt;""</f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35">
      <c r="A187" t="s">
        <v>1506</v>
      </c>
      <c r="B187" t="s">
        <v>3783</v>
      </c>
      <c r="D187" t="b">
        <f>IFERROR(VLOOKUP(B187,PatData!$A$2:$A$2000,1,),"")&lt;&gt;""</f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35">
      <c r="A188" t="s">
        <v>1507</v>
      </c>
      <c r="B188" t="s">
        <v>3784</v>
      </c>
      <c r="D188" t="b">
        <f>IFERROR(VLOOKUP(B188,PatData!$A$2:$A$2000,1,),"")&lt;&gt;""</f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35">
      <c r="A189" t="s">
        <v>1508</v>
      </c>
      <c r="B189" t="s">
        <v>3785</v>
      </c>
      <c r="D189" t="b">
        <f>IFERROR(VLOOKUP(B189,PatData!$A$2:$A$2000,1,),"")&lt;&gt;""</f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35">
      <c r="A190" t="s">
        <v>1509</v>
      </c>
      <c r="B190" t="s">
        <v>3786</v>
      </c>
      <c r="D190" t="b">
        <f>IFERROR(VLOOKUP(B190,PatData!$A$2:$A$2000,1,),"")&lt;&gt;""</f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35">
      <c r="A191" t="s">
        <v>1510</v>
      </c>
      <c r="B191" t="s">
        <v>3787</v>
      </c>
      <c r="D191" t="b">
        <f>IFERROR(VLOOKUP(B191,PatData!$A$2:$A$2000,1,),"")&lt;&gt;""</f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35">
      <c r="A192" t="s">
        <v>1511</v>
      </c>
      <c r="B192" t="s">
        <v>3788</v>
      </c>
      <c r="D192" t="b">
        <f>IFERROR(VLOOKUP(B192,PatData!$A$2:$A$2000,1,),"")&lt;&gt;""</f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35">
      <c r="A193" t="s">
        <v>1512</v>
      </c>
      <c r="B193" t="s">
        <v>3789</v>
      </c>
      <c r="D193" t="b">
        <f>IFERROR(VLOOKUP(B193,PatData!$A$2:$A$2000,1,),"")&lt;&gt;""</f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35">
      <c r="A194" t="s">
        <v>1513</v>
      </c>
      <c r="B194" t="s">
        <v>3790</v>
      </c>
      <c r="D194" t="b">
        <f>IFERROR(VLOOKUP(B194,PatData!$A$2:$A$2000,1,),"")&lt;&gt;""</f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35">
      <c r="A195" t="s">
        <v>1514</v>
      </c>
      <c r="B195" t="s">
        <v>3791</v>
      </c>
      <c r="D195" t="b">
        <f>IFERROR(VLOOKUP(B195,PatData!$A$2:$A$2000,1,),"")&lt;&gt;""</f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35">
      <c r="A196" t="s">
        <v>1515</v>
      </c>
      <c r="B196" t="s">
        <v>3792</v>
      </c>
      <c r="D196" t="b">
        <f>IFERROR(VLOOKUP(B196,PatData!$A$2:$A$2000,1,),"")&lt;&gt;""</f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35">
      <c r="A197" t="s">
        <v>1516</v>
      </c>
      <c r="B197" t="s">
        <v>3793</v>
      </c>
      <c r="D197" t="b">
        <f>IFERROR(VLOOKUP(B197,PatData!$A$2:$A$2000,1,),"")&lt;&gt;""</f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35">
      <c r="A198" t="s">
        <v>1517</v>
      </c>
      <c r="B198" t="s">
        <v>3794</v>
      </c>
      <c r="D198" t="b">
        <f>IFERROR(VLOOKUP(B198,PatData!$A$2:$A$2000,1,),"")&lt;&gt;""</f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35">
      <c r="A199" t="s">
        <v>1518</v>
      </c>
      <c r="B199" t="s">
        <v>3795</v>
      </c>
      <c r="D199" t="b">
        <f>IFERROR(VLOOKUP(B199,PatData!$A$2:$A$2000,1,),"")&lt;&gt;""</f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35">
      <c r="A200" t="s">
        <v>1519</v>
      </c>
      <c r="B200" t="s">
        <v>3796</v>
      </c>
      <c r="D200" t="b">
        <f>IFERROR(VLOOKUP(B200,PatData!$A$2:$A$2000,1,),"")&lt;&gt;""</f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35">
      <c r="A201" t="s">
        <v>1520</v>
      </c>
      <c r="B201" t="s">
        <v>3797</v>
      </c>
      <c r="D201" t="b">
        <f>IFERROR(VLOOKUP(B201,PatData!$A$2:$A$2000,1,),"")&lt;&gt;""</f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35">
      <c r="A202" t="s">
        <v>1521</v>
      </c>
      <c r="B202" t="s">
        <v>3798</v>
      </c>
      <c r="D202" t="b">
        <f>IFERROR(VLOOKUP(B202,PatData!$A$2:$A$2000,1,),"")&lt;&gt;""</f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35">
      <c r="A203" t="s">
        <v>1522</v>
      </c>
      <c r="B203" t="s">
        <v>3799</v>
      </c>
      <c r="D203" t="b">
        <f>IFERROR(VLOOKUP(B203,PatData!$A$2:$A$2000,1,),"")&lt;&gt;""</f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35">
      <c r="A204" t="s">
        <v>1523</v>
      </c>
      <c r="B204" t="s">
        <v>3800</v>
      </c>
      <c r="D204" t="b">
        <f>IFERROR(VLOOKUP(B204,PatData!$A$2:$A$2000,1,),"")&lt;&gt;""</f>
        <v>1</v>
      </c>
      <c r="F204" t="b">
        <v>0</v>
      </c>
      <c r="G204" t="b">
        <v>1</v>
      </c>
      <c r="H204" t="b">
        <v>0</v>
      </c>
      <c r="I204" t="b">
        <v>0</v>
      </c>
    </row>
    <row r="205" spans="1:9" x14ac:dyDescent="0.35">
      <c r="A205" t="s">
        <v>1524</v>
      </c>
      <c r="B205" t="s">
        <v>3801</v>
      </c>
      <c r="D205" t="b">
        <f>IFERROR(VLOOKUP(B205,PatData!$A$2:$A$2000,1,),"")&lt;&gt;""</f>
        <v>1</v>
      </c>
      <c r="F205" t="b">
        <v>0</v>
      </c>
      <c r="G205" t="b">
        <v>1</v>
      </c>
      <c r="H205" t="b">
        <v>0</v>
      </c>
      <c r="I205" t="b">
        <v>0</v>
      </c>
    </row>
    <row r="206" spans="1:9" x14ac:dyDescent="0.35">
      <c r="A206" t="s">
        <v>1525</v>
      </c>
      <c r="B206" t="s">
        <v>3802</v>
      </c>
      <c r="D206" t="b">
        <f>IFERROR(VLOOKUP(B206,PatData!$A$2:$A$2000,1,),"")&lt;&gt;""</f>
        <v>1</v>
      </c>
      <c r="F206" t="b">
        <v>0</v>
      </c>
      <c r="G206" t="b">
        <v>1</v>
      </c>
      <c r="H206" t="b">
        <v>0</v>
      </c>
      <c r="I206" t="b">
        <v>0</v>
      </c>
    </row>
    <row r="207" spans="1:9" x14ac:dyDescent="0.35">
      <c r="A207" t="s">
        <v>1526</v>
      </c>
      <c r="B207" t="s">
        <v>3803</v>
      </c>
      <c r="D207" t="b">
        <f>IFERROR(VLOOKUP(B207,PatData!$A$2:$A$2000,1,),"")&lt;&gt;""</f>
        <v>1</v>
      </c>
      <c r="F207" t="b">
        <v>0</v>
      </c>
      <c r="G207" t="b">
        <v>1</v>
      </c>
      <c r="H207" t="b">
        <v>0</v>
      </c>
      <c r="I207" t="b">
        <v>0</v>
      </c>
    </row>
    <row r="208" spans="1:9" x14ac:dyDescent="0.35">
      <c r="A208" t="s">
        <v>1527</v>
      </c>
      <c r="B208" t="s">
        <v>3804</v>
      </c>
      <c r="D208" t="b">
        <f>IFERROR(VLOOKUP(B208,PatData!$A$2:$A$2000,1,),"")&lt;&gt;""</f>
        <v>1</v>
      </c>
      <c r="F208" t="b">
        <v>0</v>
      </c>
      <c r="G208" t="b">
        <v>1</v>
      </c>
      <c r="H208" t="b">
        <v>0</v>
      </c>
      <c r="I208" t="b">
        <v>0</v>
      </c>
    </row>
    <row r="209" spans="1:9" x14ac:dyDescent="0.35">
      <c r="A209" t="s">
        <v>1528</v>
      </c>
      <c r="B209" t="s">
        <v>3805</v>
      </c>
      <c r="D209" t="b">
        <f>IFERROR(VLOOKUP(B209,PatData!$A$2:$A$2000,1,),"")&lt;&gt;""</f>
        <v>1</v>
      </c>
      <c r="F209" t="b">
        <v>0</v>
      </c>
      <c r="G209" t="b">
        <v>1</v>
      </c>
      <c r="H209" t="b">
        <v>0</v>
      </c>
      <c r="I209" t="b">
        <v>0</v>
      </c>
    </row>
    <row r="210" spans="1:9" x14ac:dyDescent="0.35">
      <c r="A210" t="s">
        <v>1529</v>
      </c>
      <c r="B210" t="s">
        <v>3806</v>
      </c>
      <c r="D210" t="b">
        <f>IFERROR(VLOOKUP(B210,PatData!$A$2:$A$2000,1,),"")&lt;&gt;""</f>
        <v>1</v>
      </c>
      <c r="F210" t="b">
        <v>0</v>
      </c>
      <c r="G210" t="b">
        <v>1</v>
      </c>
      <c r="H210" t="b">
        <v>0</v>
      </c>
      <c r="I210" t="b">
        <v>0</v>
      </c>
    </row>
    <row r="211" spans="1:9" x14ac:dyDescent="0.35">
      <c r="A211" t="s">
        <v>1530</v>
      </c>
      <c r="B211" t="s">
        <v>3807</v>
      </c>
      <c r="D211" t="b">
        <f>IFERROR(VLOOKUP(B211,PatData!$A$2:$A$2000,1,),"")&lt;&gt;""</f>
        <v>1</v>
      </c>
      <c r="F211" t="b">
        <v>0</v>
      </c>
      <c r="G211" t="b">
        <v>1</v>
      </c>
      <c r="H211" t="b">
        <v>0</v>
      </c>
      <c r="I211" t="b">
        <v>0</v>
      </c>
    </row>
    <row r="212" spans="1:9" x14ac:dyDescent="0.35">
      <c r="A212" t="s">
        <v>1531</v>
      </c>
      <c r="B212" t="s">
        <v>3808</v>
      </c>
      <c r="D212" t="b">
        <f>IFERROR(VLOOKUP(B212,PatData!$A$2:$A$2000,1,),"")&lt;&gt;""</f>
        <v>1</v>
      </c>
      <c r="F212" t="b">
        <v>0</v>
      </c>
      <c r="G212" t="b">
        <v>1</v>
      </c>
      <c r="H212" t="b">
        <v>0</v>
      </c>
      <c r="I212" t="b">
        <v>0</v>
      </c>
    </row>
    <row r="213" spans="1:9" x14ac:dyDescent="0.35">
      <c r="A213" t="s">
        <v>1532</v>
      </c>
      <c r="B213" t="s">
        <v>3809</v>
      </c>
      <c r="D213" t="b">
        <f>IFERROR(VLOOKUP(B213,PatData!$A$2:$A$2000,1,),"")&lt;&gt;""</f>
        <v>1</v>
      </c>
      <c r="F213" t="b">
        <v>0</v>
      </c>
      <c r="G213" t="b">
        <v>1</v>
      </c>
      <c r="H213" t="b">
        <v>0</v>
      </c>
      <c r="I213" t="b">
        <v>0</v>
      </c>
    </row>
    <row r="214" spans="1:9" x14ac:dyDescent="0.35">
      <c r="A214" t="s">
        <v>1533</v>
      </c>
      <c r="B214" t="s">
        <v>3810</v>
      </c>
      <c r="D214" t="b">
        <f>IFERROR(VLOOKUP(B214,PatData!$A$2:$A$2000,1,),"")&lt;&gt;""</f>
        <v>1</v>
      </c>
      <c r="F214" t="b">
        <v>0</v>
      </c>
      <c r="G214" t="b">
        <v>1</v>
      </c>
      <c r="H214" t="b">
        <v>0</v>
      </c>
      <c r="I214" t="b">
        <v>0</v>
      </c>
    </row>
    <row r="215" spans="1:9" x14ac:dyDescent="0.35">
      <c r="A215" t="s">
        <v>1534</v>
      </c>
      <c r="B215" t="s">
        <v>3811</v>
      </c>
      <c r="D215" t="b">
        <f>IFERROR(VLOOKUP(B215,PatData!$A$2:$A$2000,1,),"")&lt;&gt;""</f>
        <v>1</v>
      </c>
      <c r="F215" t="b">
        <v>0</v>
      </c>
      <c r="G215" t="b">
        <v>1</v>
      </c>
      <c r="H215" t="b">
        <v>0</v>
      </c>
      <c r="I215" t="b">
        <v>0</v>
      </c>
    </row>
    <row r="216" spans="1:9" x14ac:dyDescent="0.35">
      <c r="A216" t="s">
        <v>1535</v>
      </c>
      <c r="B216" t="s">
        <v>3812</v>
      </c>
      <c r="D216" t="b">
        <f>IFERROR(VLOOKUP(B216,PatData!$A$2:$A$2000,1,),"")&lt;&gt;""</f>
        <v>1</v>
      </c>
      <c r="F216" t="b">
        <v>0</v>
      </c>
      <c r="G216" t="b">
        <v>1</v>
      </c>
      <c r="H216" t="b">
        <v>0</v>
      </c>
      <c r="I216" t="b">
        <v>0</v>
      </c>
    </row>
    <row r="217" spans="1:9" x14ac:dyDescent="0.35">
      <c r="A217" t="s">
        <v>1536</v>
      </c>
      <c r="B217" t="s">
        <v>3813</v>
      </c>
      <c r="D217" t="b">
        <f>IFERROR(VLOOKUP(B217,PatData!$A$2:$A$2000,1,),"")&lt;&gt;""</f>
        <v>1</v>
      </c>
      <c r="F217" t="b">
        <v>0</v>
      </c>
      <c r="G217" t="b">
        <v>1</v>
      </c>
      <c r="H217" t="b">
        <v>0</v>
      </c>
      <c r="I217" t="b">
        <v>0</v>
      </c>
    </row>
    <row r="218" spans="1:9" x14ac:dyDescent="0.35">
      <c r="A218" t="s">
        <v>1537</v>
      </c>
      <c r="B218" t="s">
        <v>3814</v>
      </c>
      <c r="D218" t="b">
        <f>IFERROR(VLOOKUP(B218,PatData!$A$2:$A$2000,1,),"")&lt;&gt;""</f>
        <v>1</v>
      </c>
      <c r="F218" t="b">
        <v>0</v>
      </c>
      <c r="G218" t="b">
        <v>1</v>
      </c>
      <c r="H218" t="b">
        <v>0</v>
      </c>
      <c r="I218" t="b">
        <v>0</v>
      </c>
    </row>
    <row r="219" spans="1:9" x14ac:dyDescent="0.35">
      <c r="A219" t="s">
        <v>1538</v>
      </c>
      <c r="B219" t="s">
        <v>3815</v>
      </c>
      <c r="D219" t="b">
        <f>IFERROR(VLOOKUP(B219,PatData!$A$2:$A$2000,1,),"")&lt;&gt;""</f>
        <v>1</v>
      </c>
      <c r="F219" t="b">
        <v>0</v>
      </c>
      <c r="G219" t="b">
        <v>1</v>
      </c>
      <c r="H219" t="b">
        <v>0</v>
      </c>
      <c r="I219" t="b">
        <v>0</v>
      </c>
    </row>
    <row r="220" spans="1:9" x14ac:dyDescent="0.35">
      <c r="A220" t="s">
        <v>1539</v>
      </c>
      <c r="B220" t="s">
        <v>3816</v>
      </c>
      <c r="D220" t="b">
        <f>IFERROR(VLOOKUP(B220,PatData!$A$2:$A$2000,1,),"")&lt;&gt;""</f>
        <v>1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35">
      <c r="A221" t="s">
        <v>1540</v>
      </c>
      <c r="B221" t="s">
        <v>3817</v>
      </c>
      <c r="D221" t="b">
        <f>IFERROR(VLOOKUP(B221,PatData!$A$2:$A$2000,1,),"")&lt;&gt;""</f>
        <v>1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35">
      <c r="A222" t="s">
        <v>1541</v>
      </c>
      <c r="B222" t="s">
        <v>3818</v>
      </c>
      <c r="D222" t="b">
        <f>IFERROR(VLOOKUP(B222,PatData!$A$2:$A$2000,1,),"")&lt;&gt;""</f>
        <v>1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35">
      <c r="A223" t="s">
        <v>1542</v>
      </c>
      <c r="B223" t="s">
        <v>3819</v>
      </c>
      <c r="D223" t="b">
        <f>IFERROR(VLOOKUP(B223,PatData!$A$2:$A$2000,1,),"")&lt;&gt;""</f>
        <v>1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35">
      <c r="A224" t="s">
        <v>1543</v>
      </c>
      <c r="B224" t="s">
        <v>3820</v>
      </c>
      <c r="D224" t="b">
        <f>IFERROR(VLOOKUP(B224,PatData!$A$2:$A$2000,1,),"")&lt;&gt;""</f>
        <v>1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35">
      <c r="A225" t="s">
        <v>1544</v>
      </c>
      <c r="B225" t="s">
        <v>3821</v>
      </c>
      <c r="D225" t="b">
        <f>IFERROR(VLOOKUP(B225,PatData!$A$2:$A$2000,1,),"")&lt;&gt;""</f>
        <v>1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35">
      <c r="A226" t="s">
        <v>1545</v>
      </c>
      <c r="B226" t="s">
        <v>3822</v>
      </c>
      <c r="D226" t="b">
        <f>IFERROR(VLOOKUP(B226,PatData!$A$2:$A$2000,1,),"")&lt;&gt;""</f>
        <v>1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35">
      <c r="A227" t="s">
        <v>1546</v>
      </c>
      <c r="B227" t="s">
        <v>3823</v>
      </c>
      <c r="D227" t="b">
        <f>IFERROR(VLOOKUP(B227,PatData!$A$2:$A$2000,1,),"")&lt;&gt;""</f>
        <v>1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35">
      <c r="A228" t="s">
        <v>1547</v>
      </c>
      <c r="B228" t="s">
        <v>3824</v>
      </c>
      <c r="D228" t="b">
        <f>IFERROR(VLOOKUP(B228,PatData!$A$2:$A$2000,1,),"")&lt;&gt;""</f>
        <v>1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35">
      <c r="A229" t="s">
        <v>1548</v>
      </c>
      <c r="B229" t="s">
        <v>3825</v>
      </c>
      <c r="D229" t="b">
        <f>IFERROR(VLOOKUP(B229,PatData!$A$2:$A$2000,1,),"")&lt;&gt;""</f>
        <v>1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35">
      <c r="A230" t="s">
        <v>1549</v>
      </c>
      <c r="B230" t="s">
        <v>3826</v>
      </c>
      <c r="D230" t="b">
        <f>IFERROR(VLOOKUP(B230,PatData!$A$2:$A$2000,1,),"")&lt;&gt;""</f>
        <v>1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35">
      <c r="A231" t="s">
        <v>1550</v>
      </c>
      <c r="B231" t="s">
        <v>3827</v>
      </c>
      <c r="D231" t="b">
        <f>IFERROR(VLOOKUP(B231,PatData!$A$2:$A$2000,1,),"")&lt;&gt;""</f>
        <v>1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35">
      <c r="A232" t="s">
        <v>1551</v>
      </c>
      <c r="B232" t="s">
        <v>3828</v>
      </c>
      <c r="D232" t="b">
        <f>IFERROR(VLOOKUP(B232,PatData!$A$2:$A$2000,1,),"")&lt;&gt;""</f>
        <v>1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35">
      <c r="A233" t="s">
        <v>1552</v>
      </c>
      <c r="B233" t="s">
        <v>3829</v>
      </c>
      <c r="D233" t="b">
        <f>IFERROR(VLOOKUP(B233,PatData!$A$2:$A$2000,1,),"")&lt;&gt;""</f>
        <v>1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35">
      <c r="A234" t="s">
        <v>1553</v>
      </c>
      <c r="B234" t="s">
        <v>3830</v>
      </c>
      <c r="D234" t="b">
        <f>IFERROR(VLOOKUP(B234,PatData!$A$2:$A$2000,1,),"")&lt;&gt;""</f>
        <v>1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35">
      <c r="A235" t="s">
        <v>1554</v>
      </c>
      <c r="B235" t="s">
        <v>3831</v>
      </c>
      <c r="D235" t="b">
        <f>IFERROR(VLOOKUP(B235,PatData!$A$2:$A$2000,1,),"")&lt;&gt;""</f>
        <v>1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35">
      <c r="A236" t="s">
        <v>1555</v>
      </c>
      <c r="B236" t="s">
        <v>3832</v>
      </c>
      <c r="D236" t="b">
        <f>IFERROR(VLOOKUP(B236,PatData!$A$2:$A$2000,1,),"")&lt;&gt;""</f>
        <v>1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35">
      <c r="A237" t="s">
        <v>1556</v>
      </c>
      <c r="B237" t="s">
        <v>3833</v>
      </c>
      <c r="D237" t="b">
        <f>IFERROR(VLOOKUP(B237,PatData!$A$2:$A$2000,1,),"")&lt;&gt;""</f>
        <v>1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35">
      <c r="A238" t="s">
        <v>1557</v>
      </c>
      <c r="B238" t="s">
        <v>3834</v>
      </c>
      <c r="D238" t="b">
        <f>IFERROR(VLOOKUP(B238,PatData!$A$2:$A$2000,1,),"")&lt;&gt;""</f>
        <v>1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35">
      <c r="A239" t="s">
        <v>1558</v>
      </c>
      <c r="B239" t="s">
        <v>3835</v>
      </c>
      <c r="D239" t="b">
        <f>IFERROR(VLOOKUP(B239,PatData!$A$2:$A$2000,1,),"")&lt;&gt;""</f>
        <v>1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35">
      <c r="A240" t="s">
        <v>1559</v>
      </c>
      <c r="B240" t="s">
        <v>3836</v>
      </c>
      <c r="D240" t="b">
        <f>IFERROR(VLOOKUP(B240,PatData!$A$2:$A$2000,1,),"")&lt;&gt;""</f>
        <v>1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35">
      <c r="A241" t="s">
        <v>1560</v>
      </c>
      <c r="B241" t="s">
        <v>3837</v>
      </c>
      <c r="D241" t="b">
        <f>IFERROR(VLOOKUP(B241,PatData!$A$2:$A$2000,1,),"")&lt;&gt;""</f>
        <v>1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35">
      <c r="A242" t="s">
        <v>1561</v>
      </c>
      <c r="B242" t="s">
        <v>3838</v>
      </c>
      <c r="D242" t="b">
        <f>IFERROR(VLOOKUP(B242,PatData!$A$2:$A$2000,1,),"")&lt;&gt;""</f>
        <v>1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35">
      <c r="A243" t="s">
        <v>1562</v>
      </c>
      <c r="B243" t="s">
        <v>3839</v>
      </c>
      <c r="D243" t="b">
        <f>IFERROR(VLOOKUP(B243,PatData!$A$2:$A$2000,1,),"")&lt;&gt;""</f>
        <v>1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35">
      <c r="A244" t="s">
        <v>1563</v>
      </c>
      <c r="B244" t="s">
        <v>3840</v>
      </c>
      <c r="D244" t="b">
        <f>IFERROR(VLOOKUP(B244,PatData!$A$2:$A$2000,1,),"")&lt;&gt;""</f>
        <v>1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35">
      <c r="A245" t="s">
        <v>1564</v>
      </c>
      <c r="B245" t="s">
        <v>3841</v>
      </c>
      <c r="D245" t="b">
        <f>IFERROR(VLOOKUP(B245,PatData!$A$2:$A$2000,1,),"")&lt;&gt;""</f>
        <v>1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35">
      <c r="A246" t="s">
        <v>1565</v>
      </c>
      <c r="B246" t="s">
        <v>3842</v>
      </c>
      <c r="D246" t="b">
        <f>IFERROR(VLOOKUP(B246,PatData!$A$2:$A$2000,1,),"")&lt;&gt;""</f>
        <v>1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35">
      <c r="A247" t="s">
        <v>1566</v>
      </c>
      <c r="B247" t="s">
        <v>3843</v>
      </c>
      <c r="D247" t="b">
        <f>IFERROR(VLOOKUP(B247,PatData!$A$2:$A$2000,1,),"")&lt;&gt;""</f>
        <v>1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35">
      <c r="A248" t="s">
        <v>1567</v>
      </c>
      <c r="B248" t="s">
        <v>3844</v>
      </c>
      <c r="D248" t="b">
        <f>IFERROR(VLOOKUP(B248,PatData!$A$2:$A$2000,1,),"")&lt;&gt;""</f>
        <v>1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35">
      <c r="A249" t="s">
        <v>1568</v>
      </c>
      <c r="B249" t="s">
        <v>3845</v>
      </c>
      <c r="D249" t="b">
        <f>IFERROR(VLOOKUP(B249,PatData!$A$2:$A$2000,1,),"")&lt;&gt;""</f>
        <v>1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35">
      <c r="A250" t="s">
        <v>1569</v>
      </c>
      <c r="B250" t="s">
        <v>3846</v>
      </c>
      <c r="D250" t="b">
        <f>IFERROR(VLOOKUP(B250,PatData!$A$2:$A$2000,1,),"")&lt;&gt;""</f>
        <v>1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35">
      <c r="A251" t="s">
        <v>1570</v>
      </c>
      <c r="B251" t="s">
        <v>3847</v>
      </c>
      <c r="D251" t="b">
        <f>IFERROR(VLOOKUP(B251,PatData!$A$2:$A$2000,1,),"")&lt;&gt;""</f>
        <v>1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35">
      <c r="A252" t="s">
        <v>1571</v>
      </c>
      <c r="B252" t="s">
        <v>3848</v>
      </c>
      <c r="D252" t="b">
        <f>IFERROR(VLOOKUP(B252,PatData!$A$2:$A$2000,1,),"")&lt;&gt;""</f>
        <v>1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35">
      <c r="A253" t="s">
        <v>1572</v>
      </c>
      <c r="B253" t="s">
        <v>3849</v>
      </c>
      <c r="D253" t="b">
        <f>IFERROR(VLOOKUP(B253,PatData!$A$2:$A$2000,1,),"")&lt;&gt;""</f>
        <v>1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35">
      <c r="A254" t="s">
        <v>1573</v>
      </c>
      <c r="B254" t="s">
        <v>3850</v>
      </c>
      <c r="D254" t="b">
        <f>IFERROR(VLOOKUP(B254,PatData!$A$2:$A$2000,1,),"")&lt;&gt;""</f>
        <v>1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35">
      <c r="A255" t="s">
        <v>1574</v>
      </c>
      <c r="B255" t="s">
        <v>3851</v>
      </c>
      <c r="D255" t="b">
        <f>IFERROR(VLOOKUP(B255,PatData!$A$2:$A$2000,1,),"")&lt;&gt;""</f>
        <v>1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35">
      <c r="A256" t="s">
        <v>1575</v>
      </c>
      <c r="B256" t="s">
        <v>3852</v>
      </c>
      <c r="D256" t="b">
        <f>IFERROR(VLOOKUP(B256,PatData!$A$2:$A$2000,1,),"")&lt;&gt;""</f>
        <v>1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35">
      <c r="A257" t="s">
        <v>1576</v>
      </c>
      <c r="B257" t="s">
        <v>3853</v>
      </c>
      <c r="D257" t="b">
        <f>IFERROR(VLOOKUP(B257,PatData!$A$2:$A$2000,1,),"")&lt;&gt;""</f>
        <v>1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35">
      <c r="A258" t="s">
        <v>1577</v>
      </c>
      <c r="B258" t="s">
        <v>3854</v>
      </c>
      <c r="D258" t="b">
        <f>IFERROR(VLOOKUP(B258,PatData!$A$2:$A$2000,1,),"")&lt;&gt;""</f>
        <v>1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35">
      <c r="A259" t="s">
        <v>1578</v>
      </c>
      <c r="B259" t="s">
        <v>3855</v>
      </c>
      <c r="D259" t="b">
        <f>IFERROR(VLOOKUP(B259,PatData!$A$2:$A$2000,1,),"")&lt;&gt;""</f>
        <v>1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35">
      <c r="A260" t="s">
        <v>1579</v>
      </c>
      <c r="B260" t="s">
        <v>3856</v>
      </c>
      <c r="D260" t="b">
        <f>IFERROR(VLOOKUP(B260,PatData!$A$2:$A$2000,1,),"")&lt;&gt;""</f>
        <v>1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35">
      <c r="A261" t="s">
        <v>1580</v>
      </c>
      <c r="B261" t="s">
        <v>3857</v>
      </c>
      <c r="D261" t="b">
        <f>IFERROR(VLOOKUP(B261,PatData!$A$2:$A$2000,1,),"")&lt;&gt;""</f>
        <v>1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35">
      <c r="A262" t="s">
        <v>1581</v>
      </c>
      <c r="B262" t="s">
        <v>3858</v>
      </c>
      <c r="D262" t="b">
        <f>IFERROR(VLOOKUP(B262,PatData!$A$2:$A$2000,1,),"")&lt;&gt;""</f>
        <v>1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35">
      <c r="A263" t="s">
        <v>1582</v>
      </c>
      <c r="B263" t="s">
        <v>3859</v>
      </c>
      <c r="D263" t="b">
        <f>IFERROR(VLOOKUP(B263,PatData!$A$2:$A$2000,1,),"")&lt;&gt;""</f>
        <v>1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35">
      <c r="A264" t="s">
        <v>1583</v>
      </c>
      <c r="B264" t="s">
        <v>3860</v>
      </c>
      <c r="D264" t="b">
        <f>IFERROR(VLOOKUP(B264,PatData!$A$2:$A$2000,1,),"")&lt;&gt;""</f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35">
      <c r="A265" t="s">
        <v>1584</v>
      </c>
      <c r="B265" t="s">
        <v>3861</v>
      </c>
      <c r="D265" t="b">
        <f>IFERROR(VLOOKUP(B265,PatData!$A$2:$A$2000,1,),"")&lt;&gt;""</f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35">
      <c r="A266" t="s">
        <v>1585</v>
      </c>
      <c r="B266" t="s">
        <v>3862</v>
      </c>
      <c r="D266" t="b">
        <f>IFERROR(VLOOKUP(B266,PatData!$A$2:$A$2000,1,),"")&lt;&gt;""</f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35">
      <c r="A267" t="s">
        <v>1586</v>
      </c>
      <c r="B267" t="s">
        <v>3863</v>
      </c>
      <c r="D267" t="b">
        <f>IFERROR(VLOOKUP(B267,PatData!$A$2:$A$2000,1,),"")&lt;&gt;""</f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35">
      <c r="A268" t="s">
        <v>1587</v>
      </c>
      <c r="B268" t="s">
        <v>3864</v>
      </c>
      <c r="D268" t="b">
        <f>IFERROR(VLOOKUP(B268,PatData!$A$2:$A$2000,1,),"")&lt;&gt;""</f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35">
      <c r="A269" t="s">
        <v>1588</v>
      </c>
      <c r="B269" t="s">
        <v>3865</v>
      </c>
      <c r="D269" t="b">
        <f>IFERROR(VLOOKUP(B269,PatData!$A$2:$A$2000,1,),"")&lt;&gt;""</f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35">
      <c r="A270" t="s">
        <v>1589</v>
      </c>
      <c r="B270" t="s">
        <v>3866</v>
      </c>
      <c r="D270" t="b">
        <f>IFERROR(VLOOKUP(B270,PatData!$A$2:$A$2000,1,),"")&lt;&gt;""</f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35">
      <c r="A271" t="s">
        <v>1590</v>
      </c>
      <c r="B271" t="s">
        <v>3867</v>
      </c>
      <c r="D271" t="b">
        <f>IFERROR(VLOOKUP(B271,PatData!$A$2:$A$2000,1,),"")&lt;&gt;""</f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35">
      <c r="A272" t="s">
        <v>1591</v>
      </c>
      <c r="B272" t="s">
        <v>3868</v>
      </c>
      <c r="D272" t="b">
        <f>IFERROR(VLOOKUP(B272,PatData!$A$2:$A$2000,1,),"")&lt;&gt;""</f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35">
      <c r="A273" t="s">
        <v>1592</v>
      </c>
      <c r="B273" t="s">
        <v>3869</v>
      </c>
      <c r="D273" t="b">
        <f>IFERROR(VLOOKUP(B273,PatData!$A$2:$A$2000,1,),"")&lt;&gt;""</f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35">
      <c r="A274" t="s">
        <v>1593</v>
      </c>
      <c r="B274" t="s">
        <v>3870</v>
      </c>
      <c r="D274" t="b">
        <f>IFERROR(VLOOKUP(B274,PatData!$A$2:$A$2000,1,),"")&lt;&gt;""</f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35">
      <c r="A275" t="s">
        <v>1594</v>
      </c>
      <c r="B275" t="s">
        <v>3871</v>
      </c>
      <c r="D275" t="b">
        <f>IFERROR(VLOOKUP(B275,PatData!$A$2:$A$2000,1,),"")&lt;&gt;""</f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35">
      <c r="A276" t="s">
        <v>1595</v>
      </c>
      <c r="B276" t="s">
        <v>3872</v>
      </c>
      <c r="D276" t="b">
        <f>IFERROR(VLOOKUP(B276,PatData!$A$2:$A$2000,1,),"")&lt;&gt;""</f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35">
      <c r="A277" t="s">
        <v>1596</v>
      </c>
      <c r="B277" t="s">
        <v>3873</v>
      </c>
      <c r="D277" t="b">
        <f>IFERROR(VLOOKUP(B277,PatData!$A$2:$A$2000,1,),"")&lt;&gt;""</f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35">
      <c r="A278" t="s">
        <v>1597</v>
      </c>
      <c r="B278" t="s">
        <v>3874</v>
      </c>
      <c r="D278" t="b">
        <f>IFERROR(VLOOKUP(B278,PatData!$A$2:$A$2000,1,),"")&lt;&gt;""</f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35">
      <c r="A279" t="s">
        <v>1598</v>
      </c>
      <c r="B279" t="s">
        <v>3875</v>
      </c>
      <c r="D279" t="b">
        <f>IFERROR(VLOOKUP(B279,PatData!$A$2:$A$2000,1,),"")&lt;&gt;""</f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35">
      <c r="A280" t="s">
        <v>1599</v>
      </c>
      <c r="B280" t="s">
        <v>3876</v>
      </c>
      <c r="D280" t="b">
        <f>IFERROR(VLOOKUP(B280,PatData!$A$2:$A$2000,1,),"")&lt;&gt;""</f>
        <v>1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35">
      <c r="A281" t="s">
        <v>1600</v>
      </c>
      <c r="B281" t="s">
        <v>3877</v>
      </c>
      <c r="D281" t="b">
        <f>IFERROR(VLOOKUP(B281,PatData!$A$2:$A$2000,1,),"")&lt;&gt;""</f>
        <v>1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35">
      <c r="A282" t="s">
        <v>1601</v>
      </c>
      <c r="B282" t="s">
        <v>3878</v>
      </c>
      <c r="D282" t="b">
        <f>IFERROR(VLOOKUP(B282,PatData!$A$2:$A$2000,1,),"")&lt;&gt;""</f>
        <v>1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35">
      <c r="A283" t="s">
        <v>1602</v>
      </c>
      <c r="B283" t="s">
        <v>3879</v>
      </c>
      <c r="D283" t="b">
        <f>IFERROR(VLOOKUP(B283,PatData!$A$2:$A$2000,1,),"")&lt;&gt;""</f>
        <v>1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35">
      <c r="A284" t="s">
        <v>1603</v>
      </c>
      <c r="B284" t="s">
        <v>3880</v>
      </c>
      <c r="D284" t="b">
        <f>IFERROR(VLOOKUP(B284,PatData!$A$2:$A$2000,1,),"")&lt;&gt;""</f>
        <v>1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35">
      <c r="A285" t="s">
        <v>1604</v>
      </c>
      <c r="B285" t="s">
        <v>3881</v>
      </c>
      <c r="D285" t="b">
        <f>IFERROR(VLOOKUP(B285,PatData!$A$2:$A$2000,1,),"")&lt;&gt;""</f>
        <v>1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35">
      <c r="A286" t="s">
        <v>1605</v>
      </c>
      <c r="B286" t="s">
        <v>3882</v>
      </c>
      <c r="D286" t="b">
        <f>IFERROR(VLOOKUP(B286,PatData!$A$2:$A$2000,1,),"")&lt;&gt;""</f>
        <v>1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35">
      <c r="A287" t="s">
        <v>1606</v>
      </c>
      <c r="B287" t="s">
        <v>3883</v>
      </c>
      <c r="D287" t="b">
        <f>IFERROR(VLOOKUP(B287,PatData!$A$2:$A$2000,1,),"")&lt;&gt;""</f>
        <v>1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35">
      <c r="A288" t="s">
        <v>1607</v>
      </c>
      <c r="B288" t="s">
        <v>3884</v>
      </c>
      <c r="D288" t="b">
        <f>IFERROR(VLOOKUP(B288,PatData!$A$2:$A$2000,1,),"")&lt;&gt;""</f>
        <v>1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35">
      <c r="A289" t="s">
        <v>1608</v>
      </c>
      <c r="B289" t="s">
        <v>3885</v>
      </c>
      <c r="D289" t="b">
        <f>IFERROR(VLOOKUP(B289,PatData!$A$2:$A$2000,1,),"")&lt;&gt;""</f>
        <v>1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35">
      <c r="A290" t="s">
        <v>1609</v>
      </c>
      <c r="B290" t="s">
        <v>3886</v>
      </c>
      <c r="D290" t="b">
        <f>IFERROR(VLOOKUP(B290,PatData!$A$2:$A$2000,1,),"")&lt;&gt;""</f>
        <v>1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35">
      <c r="A291" t="s">
        <v>1610</v>
      </c>
      <c r="B291" t="s">
        <v>3887</v>
      </c>
      <c r="D291" t="b">
        <f>IFERROR(VLOOKUP(B291,PatData!$A$2:$A$2000,1,),"")&lt;&gt;""</f>
        <v>1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35">
      <c r="A292" t="s">
        <v>1611</v>
      </c>
      <c r="B292" t="s">
        <v>3888</v>
      </c>
      <c r="D292" t="b">
        <f>IFERROR(VLOOKUP(B292,PatData!$A$2:$A$2000,1,),"")&lt;&gt;""</f>
        <v>1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35">
      <c r="A293" t="s">
        <v>1612</v>
      </c>
      <c r="B293" t="s">
        <v>3889</v>
      </c>
      <c r="D293" t="b">
        <f>IFERROR(VLOOKUP(B293,PatData!$A$2:$A$2000,1,),"")&lt;&gt;""</f>
        <v>1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35">
      <c r="A294" t="s">
        <v>1613</v>
      </c>
      <c r="B294" t="s">
        <v>3890</v>
      </c>
      <c r="D294" t="b">
        <f>IFERROR(VLOOKUP(B294,PatData!$A$2:$A$2000,1,),"")&lt;&gt;""</f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35">
      <c r="A295" t="s">
        <v>1614</v>
      </c>
      <c r="B295" t="s">
        <v>3891</v>
      </c>
      <c r="D295" t="b">
        <f>IFERROR(VLOOKUP(B295,PatData!$A$2:$A$2000,1,),"")&lt;&gt;""</f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35">
      <c r="A296" t="s">
        <v>1615</v>
      </c>
      <c r="B296" t="s">
        <v>3892</v>
      </c>
      <c r="D296" t="b">
        <f>IFERROR(VLOOKUP(B296,PatData!$A$2:$A$2000,1,),"")&lt;&gt;""</f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35">
      <c r="A297" t="s">
        <v>1616</v>
      </c>
      <c r="B297" t="s">
        <v>3893</v>
      </c>
      <c r="D297" t="b">
        <f>IFERROR(VLOOKUP(B297,PatData!$A$2:$A$2000,1,),"")&lt;&gt;""</f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35">
      <c r="A298" t="s">
        <v>1617</v>
      </c>
      <c r="B298" t="s">
        <v>3894</v>
      </c>
      <c r="D298" t="b">
        <f>IFERROR(VLOOKUP(B298,PatData!$A$2:$A$2000,1,),"")&lt;&gt;""</f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35">
      <c r="A299" t="s">
        <v>1618</v>
      </c>
      <c r="B299" t="s">
        <v>3895</v>
      </c>
      <c r="D299" t="b">
        <f>IFERROR(VLOOKUP(B299,PatData!$A$2:$A$2000,1,),"")&lt;&gt;""</f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35">
      <c r="A300" t="s">
        <v>1619</v>
      </c>
      <c r="B300" t="s">
        <v>3896</v>
      </c>
      <c r="D300" t="b">
        <f>IFERROR(VLOOKUP(B300,PatData!$A$2:$A$2000,1,),"")&lt;&gt;""</f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35">
      <c r="A301" t="s">
        <v>1620</v>
      </c>
      <c r="B301" t="s">
        <v>3897</v>
      </c>
      <c r="D301" t="b">
        <f>IFERROR(VLOOKUP(B301,PatData!$A$2:$A$2000,1,),"")&lt;&gt;""</f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35">
      <c r="A302" t="s">
        <v>1621</v>
      </c>
      <c r="B302" t="s">
        <v>3898</v>
      </c>
      <c r="D302" t="b">
        <f>IFERROR(VLOOKUP(B302,PatData!$A$2:$A$2000,1,),"")&lt;&gt;""</f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35">
      <c r="A303" t="s">
        <v>1622</v>
      </c>
      <c r="B303" t="s">
        <v>3899</v>
      </c>
      <c r="D303" t="b">
        <f>IFERROR(VLOOKUP(B303,PatData!$A$2:$A$2000,1,),"")&lt;&gt;""</f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35">
      <c r="A304" t="s">
        <v>1623</v>
      </c>
      <c r="B304" t="s">
        <v>3900</v>
      </c>
      <c r="D304" t="b">
        <f>IFERROR(VLOOKUP(B304,PatData!$A$2:$A$2000,1,),"")&lt;&gt;""</f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35">
      <c r="A305" t="s">
        <v>1624</v>
      </c>
      <c r="B305" t="s">
        <v>3901</v>
      </c>
      <c r="D305" t="b">
        <f>IFERROR(VLOOKUP(B305,PatData!$A$2:$A$2000,1,),"")&lt;&gt;""</f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35">
      <c r="A306" t="s">
        <v>1625</v>
      </c>
      <c r="B306" t="s">
        <v>3902</v>
      </c>
      <c r="D306" t="b">
        <f>IFERROR(VLOOKUP(B306,PatData!$A$2:$A$2000,1,),"")&lt;&gt;""</f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35">
      <c r="A307" t="s">
        <v>1626</v>
      </c>
      <c r="B307" t="s">
        <v>3903</v>
      </c>
      <c r="D307" t="b">
        <f>IFERROR(VLOOKUP(B307,PatData!$A$2:$A$2000,1,),"")&lt;&gt;""</f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35">
      <c r="A308" t="s">
        <v>1627</v>
      </c>
      <c r="B308" t="s">
        <v>3904</v>
      </c>
      <c r="D308" t="b">
        <f>IFERROR(VLOOKUP(B308,PatData!$A$2:$A$2000,1,),"")&lt;&gt;""</f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35">
      <c r="A309" t="s">
        <v>1628</v>
      </c>
      <c r="B309" t="s">
        <v>3905</v>
      </c>
      <c r="D309" t="b">
        <f>IFERROR(VLOOKUP(B309,PatData!$A$2:$A$2000,1,),"")&lt;&gt;""</f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35">
      <c r="A310" t="s">
        <v>1629</v>
      </c>
      <c r="B310" t="s">
        <v>3906</v>
      </c>
      <c r="D310" t="b">
        <f>IFERROR(VLOOKUP(B310,PatData!$A$2:$A$2000,1,),"")&lt;&gt;""</f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35">
      <c r="A311" t="s">
        <v>1630</v>
      </c>
      <c r="B311" t="s">
        <v>3907</v>
      </c>
      <c r="D311" t="b">
        <f>IFERROR(VLOOKUP(B311,PatData!$A$2:$A$2000,1,),"")&lt;&gt;""</f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35">
      <c r="A312" t="s">
        <v>1631</v>
      </c>
      <c r="B312" t="s">
        <v>3908</v>
      </c>
      <c r="D312" t="b">
        <f>IFERROR(VLOOKUP(B312,PatData!$A$2:$A$2000,1,),"")&lt;&gt;""</f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35">
      <c r="A313" t="s">
        <v>1632</v>
      </c>
      <c r="B313" t="s">
        <v>3909</v>
      </c>
      <c r="D313" t="b">
        <f>IFERROR(VLOOKUP(B313,PatData!$A$2:$A$2000,1,),"")&lt;&gt;""</f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35">
      <c r="A314" t="s">
        <v>1633</v>
      </c>
      <c r="B314" t="s">
        <v>3910</v>
      </c>
      <c r="D314" t="b">
        <f>IFERROR(VLOOKUP(B314,PatData!$A$2:$A$2000,1,),"")&lt;&gt;""</f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35">
      <c r="A315" t="s">
        <v>1634</v>
      </c>
      <c r="B315" t="s">
        <v>3911</v>
      </c>
      <c r="D315" t="b">
        <f>IFERROR(VLOOKUP(B315,PatData!$A$2:$A$2000,1,),"")&lt;&gt;""</f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35">
      <c r="A316" t="s">
        <v>1635</v>
      </c>
      <c r="B316" t="s">
        <v>3912</v>
      </c>
      <c r="D316" t="b">
        <f>IFERROR(VLOOKUP(B316,PatData!$A$2:$A$2000,1,),"")&lt;&gt;""</f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35">
      <c r="A317" t="s">
        <v>1636</v>
      </c>
      <c r="B317" t="s">
        <v>3913</v>
      </c>
      <c r="D317" t="b">
        <f>IFERROR(VLOOKUP(B317,PatData!$A$2:$A$2000,1,),"")&lt;&gt;""</f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35">
      <c r="A318" t="s">
        <v>1637</v>
      </c>
      <c r="B318" t="s">
        <v>3914</v>
      </c>
      <c r="D318" t="b">
        <f>IFERROR(VLOOKUP(B318,PatData!$A$2:$A$2000,1,),"")&lt;&gt;""</f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35">
      <c r="A319" t="s">
        <v>1638</v>
      </c>
      <c r="B319" t="s">
        <v>3915</v>
      </c>
      <c r="D319" t="b">
        <f>IFERROR(VLOOKUP(B319,PatData!$A$2:$A$2000,1,),"")&lt;&gt;""</f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35">
      <c r="A320" t="s">
        <v>1639</v>
      </c>
      <c r="B320" t="s">
        <v>3916</v>
      </c>
      <c r="D320" t="b">
        <f>IFERROR(VLOOKUP(B320,PatData!$A$2:$A$2000,1,),"")&lt;&gt;""</f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35">
      <c r="A321" t="s">
        <v>1640</v>
      </c>
      <c r="B321" t="s">
        <v>3917</v>
      </c>
      <c r="D321" t="b">
        <f>IFERROR(VLOOKUP(B321,PatData!$A$2:$A$2000,1,),"")&lt;&gt;""</f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35">
      <c r="A322" t="s">
        <v>1641</v>
      </c>
      <c r="B322" t="s">
        <v>3918</v>
      </c>
      <c r="D322" t="b">
        <f>IFERROR(VLOOKUP(B322,PatData!$A$2:$A$2000,1,),"")&lt;&gt;""</f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35">
      <c r="A323" t="s">
        <v>1642</v>
      </c>
      <c r="B323" t="s">
        <v>3919</v>
      </c>
      <c r="D323" t="b">
        <f>IFERROR(VLOOKUP(B323,PatData!$A$2:$A$2000,1,),"")&lt;&gt;""</f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35">
      <c r="A324" t="s">
        <v>1643</v>
      </c>
      <c r="B324" t="s">
        <v>3920</v>
      </c>
      <c r="D324" t="b">
        <f>IFERROR(VLOOKUP(B324,PatData!$A$2:$A$2000,1,),"")&lt;&gt;""</f>
        <v>1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35">
      <c r="A325" t="s">
        <v>1644</v>
      </c>
      <c r="B325" t="s">
        <v>3921</v>
      </c>
      <c r="D325" t="b">
        <f>IFERROR(VLOOKUP(B325,PatData!$A$2:$A$2000,1,),"")&lt;&gt;""</f>
        <v>1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35">
      <c r="A326" t="s">
        <v>1645</v>
      </c>
      <c r="B326" t="s">
        <v>3922</v>
      </c>
      <c r="D326" t="b">
        <f>IFERROR(VLOOKUP(B326,PatData!$A$2:$A$2000,1,),"")&lt;&gt;""</f>
        <v>1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35">
      <c r="A327" t="s">
        <v>1646</v>
      </c>
      <c r="B327" t="s">
        <v>3923</v>
      </c>
      <c r="D327" t="b">
        <f>IFERROR(VLOOKUP(B327,PatData!$A$2:$A$2000,1,),"")&lt;&gt;""</f>
        <v>1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35">
      <c r="A328" t="s">
        <v>1647</v>
      </c>
      <c r="B328" t="s">
        <v>3924</v>
      </c>
      <c r="D328" t="b">
        <f>IFERROR(VLOOKUP(B328,PatData!$A$2:$A$2000,1,),"")&lt;&gt;""</f>
        <v>1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35">
      <c r="A329" t="s">
        <v>1648</v>
      </c>
      <c r="B329" t="s">
        <v>3925</v>
      </c>
      <c r="D329" t="b">
        <f>IFERROR(VLOOKUP(B329,PatData!$A$2:$A$2000,1,),"")&lt;&gt;""</f>
        <v>1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35">
      <c r="A330" t="s">
        <v>1649</v>
      </c>
      <c r="B330" t="s">
        <v>3926</v>
      </c>
      <c r="D330" t="b">
        <f>IFERROR(VLOOKUP(B330,PatData!$A$2:$A$2000,1,),"")&lt;&gt;""</f>
        <v>1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35">
      <c r="A331" t="s">
        <v>1650</v>
      </c>
      <c r="B331" t="s">
        <v>3927</v>
      </c>
      <c r="D331" t="b">
        <f>IFERROR(VLOOKUP(B331,PatData!$A$2:$A$2000,1,),"")&lt;&gt;""</f>
        <v>1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35">
      <c r="A332" t="s">
        <v>1651</v>
      </c>
      <c r="B332" t="s">
        <v>3928</v>
      </c>
      <c r="D332" t="b">
        <f>IFERROR(VLOOKUP(B332,PatData!$A$2:$A$2000,1,),"")&lt;&gt;""</f>
        <v>1</v>
      </c>
      <c r="F332" t="b">
        <v>0</v>
      </c>
      <c r="G332" t="b">
        <v>1</v>
      </c>
      <c r="H332" t="b">
        <v>0</v>
      </c>
      <c r="I332" t="b">
        <v>0</v>
      </c>
    </row>
    <row r="333" spans="1:9" x14ac:dyDescent="0.35">
      <c r="A333" t="s">
        <v>1652</v>
      </c>
      <c r="B333" t="s">
        <v>3929</v>
      </c>
      <c r="D333" t="b">
        <f>IFERROR(VLOOKUP(B333,PatData!$A$2:$A$2000,1,),"")&lt;&gt;""</f>
        <v>1</v>
      </c>
      <c r="F333" t="b">
        <v>0</v>
      </c>
      <c r="G333" t="b">
        <v>1</v>
      </c>
      <c r="H333" t="b">
        <v>0</v>
      </c>
      <c r="I333" t="b">
        <v>0</v>
      </c>
    </row>
    <row r="334" spans="1:9" x14ac:dyDescent="0.35">
      <c r="A334" t="s">
        <v>1653</v>
      </c>
      <c r="B334" t="s">
        <v>3930</v>
      </c>
      <c r="D334" t="b">
        <f>IFERROR(VLOOKUP(B334,PatData!$A$2:$A$2000,1,),"")&lt;&gt;""</f>
        <v>1</v>
      </c>
      <c r="F334" t="b">
        <v>0</v>
      </c>
      <c r="G334" t="b">
        <v>1</v>
      </c>
      <c r="H334" t="b">
        <v>0</v>
      </c>
      <c r="I334" t="b">
        <v>0</v>
      </c>
    </row>
    <row r="335" spans="1:9" x14ac:dyDescent="0.35">
      <c r="A335" t="s">
        <v>1654</v>
      </c>
      <c r="B335" t="s">
        <v>3931</v>
      </c>
      <c r="D335" t="b">
        <f>IFERROR(VLOOKUP(B335,PatData!$A$2:$A$2000,1,),"")&lt;&gt;""</f>
        <v>1</v>
      </c>
      <c r="F335" t="b">
        <v>0</v>
      </c>
      <c r="G335" t="b">
        <v>1</v>
      </c>
      <c r="H335" t="b">
        <v>0</v>
      </c>
      <c r="I335" t="b">
        <v>0</v>
      </c>
    </row>
    <row r="336" spans="1:9" x14ac:dyDescent="0.35">
      <c r="A336" t="s">
        <v>1655</v>
      </c>
      <c r="B336" t="s">
        <v>3932</v>
      </c>
      <c r="D336" t="b">
        <f>IFERROR(VLOOKUP(B336,PatData!$A$2:$A$2000,1,),"")&lt;&gt;""</f>
        <v>1</v>
      </c>
      <c r="F336" t="b">
        <v>0</v>
      </c>
      <c r="G336" t="b">
        <v>1</v>
      </c>
      <c r="H336" t="b">
        <v>0</v>
      </c>
      <c r="I336" t="b">
        <v>0</v>
      </c>
    </row>
    <row r="337" spans="1:9" x14ac:dyDescent="0.35">
      <c r="A337" t="s">
        <v>1656</v>
      </c>
      <c r="B337" t="s">
        <v>3933</v>
      </c>
      <c r="D337" t="b">
        <f>IFERROR(VLOOKUP(B337,PatData!$A$2:$A$2000,1,),"")&lt;&gt;""</f>
        <v>1</v>
      </c>
      <c r="F337" t="b">
        <v>0</v>
      </c>
      <c r="G337" t="b">
        <v>1</v>
      </c>
      <c r="H337" t="b">
        <v>0</v>
      </c>
      <c r="I337" t="b">
        <v>0</v>
      </c>
    </row>
    <row r="338" spans="1:9" x14ac:dyDescent="0.35">
      <c r="A338" t="s">
        <v>1657</v>
      </c>
      <c r="B338" t="s">
        <v>3934</v>
      </c>
      <c r="D338" t="b">
        <f>IFERROR(VLOOKUP(B338,PatData!$A$2:$A$2000,1,),"")&lt;&gt;""</f>
        <v>1</v>
      </c>
      <c r="F338" t="b">
        <v>0</v>
      </c>
      <c r="G338" t="b">
        <v>1</v>
      </c>
      <c r="H338" t="b">
        <v>0</v>
      </c>
      <c r="I338" t="b">
        <v>0</v>
      </c>
    </row>
    <row r="339" spans="1:9" x14ac:dyDescent="0.35">
      <c r="A339" t="s">
        <v>1658</v>
      </c>
      <c r="B339" t="s">
        <v>3935</v>
      </c>
      <c r="D339" t="b">
        <f>IFERROR(VLOOKUP(B339,PatData!$A$2:$A$2000,1,),"")&lt;&gt;""</f>
        <v>1</v>
      </c>
      <c r="F339" t="b">
        <v>0</v>
      </c>
      <c r="G339" t="b">
        <v>1</v>
      </c>
      <c r="H339" t="b">
        <v>0</v>
      </c>
      <c r="I339" t="b">
        <v>0</v>
      </c>
    </row>
    <row r="340" spans="1:9" x14ac:dyDescent="0.35">
      <c r="A340" t="s">
        <v>2928</v>
      </c>
      <c r="B340" t="s">
        <v>3936</v>
      </c>
      <c r="D340" t="b">
        <f>IFERROR(VLOOKUP(B340,PatData!$A$2:$A$2000,1,),"")&lt;&gt;""</f>
        <v>1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35">
      <c r="A341" t="s">
        <v>2929</v>
      </c>
      <c r="B341" t="s">
        <v>3937</v>
      </c>
      <c r="D341" t="b">
        <f>IFERROR(VLOOKUP(B341,PatData!$A$2:$A$2000,1,),"")&lt;&gt;""</f>
        <v>1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35">
      <c r="A342" t="s">
        <v>2930</v>
      </c>
      <c r="B342" t="s">
        <v>3938</v>
      </c>
      <c r="D342" t="b">
        <f>IFERROR(VLOOKUP(B342,PatData!$A$2:$A$2000,1,),"")&lt;&gt;""</f>
        <v>1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35">
      <c r="A343" t="s">
        <v>2931</v>
      </c>
      <c r="B343" t="s">
        <v>3939</v>
      </c>
      <c r="D343" t="b">
        <f>IFERROR(VLOOKUP(B343,PatData!$A$2:$A$2000,1,),"")&lt;&gt;""</f>
        <v>1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35">
      <c r="A344" t="s">
        <v>2918</v>
      </c>
      <c r="B344" t="s">
        <v>3940</v>
      </c>
      <c r="D344" t="b">
        <f>IFERROR(VLOOKUP(B344,PatData!$A$2:$A$2000,1,),"")&lt;&gt;""</f>
        <v>1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35">
      <c r="A345" t="s">
        <v>2919</v>
      </c>
      <c r="B345" t="s">
        <v>3941</v>
      </c>
      <c r="D345" t="b">
        <f>IFERROR(VLOOKUP(B345,PatData!$A$2:$A$2000,1,),"")&lt;&gt;""</f>
        <v>1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35">
      <c r="A346" t="s">
        <v>2920</v>
      </c>
      <c r="B346" t="s">
        <v>3942</v>
      </c>
      <c r="D346" t="b">
        <f>IFERROR(VLOOKUP(B346,PatData!$A$2:$A$2000,1,),"")&lt;&gt;""</f>
        <v>1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35">
      <c r="A347" t="s">
        <v>2921</v>
      </c>
      <c r="B347" t="s">
        <v>3943</v>
      </c>
      <c r="D347" t="b">
        <f>IFERROR(VLOOKUP(B347,PatData!$A$2:$A$2000,1,),"")&lt;&gt;""</f>
        <v>1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35">
      <c r="A348" t="s">
        <v>2922</v>
      </c>
      <c r="B348" t="s">
        <v>3944</v>
      </c>
      <c r="D348" t="b">
        <f>IFERROR(VLOOKUP(B348,PatData!$A$2:$A$2000,1,),"")&lt;&gt;""</f>
        <v>1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35">
      <c r="A349" t="s">
        <v>2932</v>
      </c>
      <c r="B349" t="s">
        <v>3945</v>
      </c>
      <c r="D349" t="b">
        <f>IFERROR(VLOOKUP(B349,PatData!$A$2:$A$2000,1,),"")&lt;&gt;""</f>
        <v>1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35">
      <c r="A350" t="s">
        <v>2943</v>
      </c>
      <c r="B350" t="s">
        <v>3946</v>
      </c>
      <c r="D350" t="b">
        <f>IFERROR(VLOOKUP(B350,PatData!$A$2:$A$2000,1,),"")&lt;&gt;""</f>
        <v>1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35">
      <c r="A351" t="s">
        <v>2945</v>
      </c>
      <c r="B351" t="s">
        <v>3947</v>
      </c>
      <c r="D351" t="b">
        <f>IFERROR(VLOOKUP(B351,PatData!$A$2:$A$2000,1,),"")&lt;&gt;""</f>
        <v>1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35">
      <c r="A352" t="s">
        <v>2946</v>
      </c>
      <c r="B352" t="s">
        <v>3948</v>
      </c>
      <c r="D352" t="b">
        <f>IFERROR(VLOOKUP(B352,PatData!$A$2:$A$2000,1,),"")&lt;&gt;""</f>
        <v>1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35">
      <c r="A353" t="s">
        <v>2947</v>
      </c>
      <c r="B353" t="s">
        <v>3949</v>
      </c>
      <c r="D353" t="b">
        <f>IFERROR(VLOOKUP(B353,PatData!$A$2:$A$2000,1,),"")&lt;&gt;""</f>
        <v>1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35">
      <c r="A354" t="s">
        <v>2948</v>
      </c>
      <c r="B354" t="s">
        <v>3950</v>
      </c>
      <c r="D354" t="b">
        <f>IFERROR(VLOOKUP(B354,PatData!$A$2:$A$2000,1,),"")&lt;&gt;""</f>
        <v>1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35">
      <c r="A355" t="s">
        <v>2949</v>
      </c>
      <c r="B355" t="s">
        <v>3951</v>
      </c>
      <c r="D355" t="b">
        <f>IFERROR(VLOOKUP(B355,PatData!$A$2:$A$2000,1,),"")&lt;&gt;""</f>
        <v>1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35">
      <c r="A356" t="s">
        <v>2950</v>
      </c>
      <c r="B356" t="s">
        <v>3952</v>
      </c>
      <c r="D356" t="b">
        <f>IFERROR(VLOOKUP(B356,PatData!$A$2:$A$2000,1,),"")&lt;&gt;""</f>
        <v>1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35">
      <c r="A357" t="s">
        <v>2951</v>
      </c>
      <c r="B357" t="s">
        <v>3953</v>
      </c>
      <c r="D357" t="b">
        <f>IFERROR(VLOOKUP(B357,PatData!$A$2:$A$2000,1,),"")&lt;&gt;""</f>
        <v>1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35">
      <c r="A358" t="s">
        <v>2933</v>
      </c>
      <c r="B358" t="s">
        <v>3954</v>
      </c>
      <c r="D358" t="b">
        <f>IFERROR(VLOOKUP(B358,PatData!$A$2:$A$2000,1,),"")&lt;&gt;""</f>
        <v>1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35">
      <c r="A359" t="s">
        <v>2934</v>
      </c>
      <c r="B359" t="s">
        <v>3955</v>
      </c>
      <c r="D359" t="b">
        <f>IFERROR(VLOOKUP(B359,PatData!$A$2:$A$2000,1,),"")&lt;&gt;""</f>
        <v>1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35">
      <c r="A360" t="s">
        <v>2935</v>
      </c>
      <c r="B360" t="s">
        <v>3956</v>
      </c>
      <c r="D360" t="b">
        <f>IFERROR(VLOOKUP(B360,PatData!$A$2:$A$2000,1,),"")&lt;&gt;""</f>
        <v>1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35">
      <c r="A361" t="s">
        <v>2936</v>
      </c>
      <c r="B361" t="s">
        <v>3957</v>
      </c>
      <c r="D361" t="b">
        <f>IFERROR(VLOOKUP(B361,PatData!$A$2:$A$2000,1,),"")&lt;&gt;""</f>
        <v>1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35">
      <c r="A362" t="s">
        <v>2937</v>
      </c>
      <c r="B362" t="s">
        <v>3958</v>
      </c>
      <c r="D362" t="b">
        <f>IFERROR(VLOOKUP(B362,PatData!$A$2:$A$2000,1,),"")&lt;&gt;""</f>
        <v>1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35">
      <c r="A363" t="s">
        <v>2938</v>
      </c>
      <c r="B363" t="s">
        <v>3959</v>
      </c>
      <c r="D363" t="b">
        <f>IFERROR(VLOOKUP(B363,PatData!$A$2:$A$2000,1,),"")&lt;&gt;""</f>
        <v>1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35">
      <c r="A364" t="s">
        <v>2939</v>
      </c>
      <c r="B364" t="s">
        <v>3960</v>
      </c>
      <c r="D364" t="b">
        <f>IFERROR(VLOOKUP(B364,PatData!$A$2:$A$2000,1,),"")&lt;&gt;""</f>
        <v>1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35">
      <c r="A365" t="s">
        <v>2940</v>
      </c>
      <c r="B365" t="s">
        <v>3961</v>
      </c>
      <c r="D365" t="b">
        <f>IFERROR(VLOOKUP(B365,PatData!$A$2:$A$2000,1,),"")&lt;&gt;""</f>
        <v>1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35">
      <c r="A366" t="s">
        <v>2941</v>
      </c>
      <c r="B366" t="s">
        <v>3962</v>
      </c>
      <c r="D366" t="b">
        <f>IFERROR(VLOOKUP(B366,PatData!$A$2:$A$2000,1,),"")&lt;&gt;""</f>
        <v>1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35">
      <c r="A367" t="s">
        <v>2942</v>
      </c>
      <c r="B367" t="s">
        <v>3963</v>
      </c>
      <c r="D367" t="b">
        <f>IFERROR(VLOOKUP(B367,PatData!$A$2:$A$2000,1,),"")&lt;&gt;""</f>
        <v>1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35">
      <c r="A368" t="s">
        <v>2944</v>
      </c>
      <c r="B368" t="s">
        <v>3964</v>
      </c>
      <c r="D368" t="b">
        <f>IFERROR(VLOOKUP(B368,PatData!$A$2:$A$2000,1,),"")&lt;&gt;""</f>
        <v>1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35">
      <c r="A369" t="s">
        <v>2923</v>
      </c>
      <c r="B369" t="s">
        <v>3965</v>
      </c>
      <c r="D369" t="b">
        <f>IFERROR(VLOOKUP(B369,PatData!$A$2:$A$2000,1,),"")&lt;&gt;""</f>
        <v>1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35">
      <c r="A370" t="s">
        <v>1659</v>
      </c>
      <c r="B370" t="s">
        <v>3966</v>
      </c>
      <c r="D370" t="b">
        <f>IFERROR(VLOOKUP(B370,PatData!$A$2:$A$2000,1,),"")&lt;&gt;""</f>
        <v>1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35">
      <c r="A371" t="s">
        <v>1660</v>
      </c>
      <c r="B371" t="s">
        <v>3967</v>
      </c>
      <c r="D371" t="b">
        <f>IFERROR(VLOOKUP(B371,PatData!$A$2:$A$2000,1,),"")&lt;&gt;""</f>
        <v>1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35">
      <c r="A372" t="s">
        <v>1661</v>
      </c>
      <c r="B372" t="s">
        <v>3968</v>
      </c>
      <c r="D372" t="b">
        <f>IFERROR(VLOOKUP(B372,PatData!$A$2:$A$2000,1,),"")&lt;&gt;""</f>
        <v>1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35">
      <c r="A373" t="s">
        <v>1662</v>
      </c>
      <c r="B373" t="s">
        <v>3969</v>
      </c>
      <c r="D373" t="b">
        <f>IFERROR(VLOOKUP(B373,PatData!$A$2:$A$2000,1,),"")&lt;&gt;""</f>
        <v>1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35">
      <c r="A374" t="s">
        <v>1663</v>
      </c>
      <c r="B374" t="s">
        <v>3970</v>
      </c>
      <c r="D374" t="b">
        <f>IFERROR(VLOOKUP(B374,PatData!$A$2:$A$2000,1,),"")&lt;&gt;""</f>
        <v>1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35">
      <c r="A375" t="s">
        <v>1664</v>
      </c>
      <c r="B375" t="s">
        <v>3971</v>
      </c>
      <c r="D375" t="b">
        <f>IFERROR(VLOOKUP(B375,PatData!$A$2:$A$2000,1,),"")&lt;&gt;""</f>
        <v>1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35">
      <c r="A376" t="s">
        <v>1665</v>
      </c>
      <c r="B376" t="s">
        <v>3972</v>
      </c>
      <c r="D376" t="b">
        <f>IFERROR(VLOOKUP(B376,PatData!$A$2:$A$2000,1,),"")&lt;&gt;""</f>
        <v>1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35">
      <c r="A377" t="s">
        <v>1666</v>
      </c>
      <c r="B377" t="s">
        <v>3973</v>
      </c>
      <c r="D377" t="b">
        <f>IFERROR(VLOOKUP(B377,PatData!$A$2:$A$2000,1,),"")&lt;&gt;""</f>
        <v>1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35">
      <c r="A378" t="s">
        <v>1667</v>
      </c>
      <c r="B378" t="s">
        <v>3974</v>
      </c>
      <c r="D378" t="b">
        <f>IFERROR(VLOOKUP(B378,PatData!$A$2:$A$2000,1,),"")&lt;&gt;""</f>
        <v>1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35">
      <c r="A379" t="s">
        <v>1668</v>
      </c>
      <c r="B379" t="s">
        <v>3975</v>
      </c>
      <c r="D379" t="b">
        <f>IFERROR(VLOOKUP(B379,PatData!$A$2:$A$2000,1,),"")&lt;&gt;""</f>
        <v>1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35">
      <c r="A380" t="s">
        <v>1669</v>
      </c>
      <c r="B380" t="s">
        <v>3976</v>
      </c>
      <c r="D380" t="b">
        <f>IFERROR(VLOOKUP(B380,PatData!$A$2:$A$2000,1,),"")&lt;&gt;""</f>
        <v>1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35">
      <c r="A381" t="s">
        <v>1670</v>
      </c>
      <c r="B381" t="s">
        <v>3977</v>
      </c>
      <c r="D381" t="b">
        <f>IFERROR(VLOOKUP(B381,PatData!$A$2:$A$2000,1,),"")&lt;&gt;""</f>
        <v>1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35">
      <c r="A382" t="s">
        <v>1671</v>
      </c>
      <c r="B382" t="s">
        <v>3978</v>
      </c>
      <c r="D382" t="b">
        <f>IFERROR(VLOOKUP(B382,PatData!$A$2:$A$2000,1,),"")&lt;&gt;""</f>
        <v>1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35">
      <c r="A383" t="s">
        <v>1672</v>
      </c>
      <c r="B383" t="s">
        <v>3979</v>
      </c>
      <c r="D383" t="b">
        <f>IFERROR(VLOOKUP(B383,PatData!$A$2:$A$2000,1,),"")&lt;&gt;""</f>
        <v>1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35">
      <c r="A384" t="s">
        <v>1673</v>
      </c>
      <c r="B384" t="s">
        <v>3980</v>
      </c>
      <c r="D384" t="b">
        <f>IFERROR(VLOOKUP(B384,PatData!$A$2:$A$2000,1,),"")&lt;&gt;""</f>
        <v>1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35">
      <c r="A385" t="s">
        <v>1674</v>
      </c>
      <c r="B385" t="s">
        <v>3981</v>
      </c>
      <c r="D385" t="b">
        <f>IFERROR(VLOOKUP(B385,PatData!$A$2:$A$2000,1,),"")&lt;&gt;""</f>
        <v>1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35">
      <c r="A386" t="s">
        <v>1675</v>
      </c>
      <c r="B386" t="s">
        <v>3982</v>
      </c>
      <c r="D386" t="b">
        <f>IFERROR(VLOOKUP(B386,PatData!$A$2:$A$2000,1,),"")&lt;&gt;""</f>
        <v>1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35">
      <c r="A387" t="s">
        <v>1676</v>
      </c>
      <c r="B387" t="s">
        <v>3983</v>
      </c>
      <c r="D387" t="b">
        <f>IFERROR(VLOOKUP(B387,PatData!$A$2:$A$2000,1,),"")&lt;&gt;""</f>
        <v>1</v>
      </c>
      <c r="F387" t="b">
        <v>0</v>
      </c>
      <c r="G387" t="b">
        <v>1</v>
      </c>
      <c r="H387" t="b">
        <v>0</v>
      </c>
      <c r="I387" t="b">
        <v>0</v>
      </c>
    </row>
    <row r="388" spans="1:9" x14ac:dyDescent="0.35">
      <c r="A388" t="s">
        <v>1677</v>
      </c>
      <c r="B388" t="s">
        <v>3984</v>
      </c>
      <c r="D388" t="b">
        <f>IFERROR(VLOOKUP(B388,PatData!$A$2:$A$2000,1,),"")&lt;&gt;""</f>
        <v>1</v>
      </c>
      <c r="F388" t="b">
        <v>0</v>
      </c>
      <c r="G388" t="b">
        <v>1</v>
      </c>
      <c r="H388" t="b">
        <v>0</v>
      </c>
      <c r="I388" t="b">
        <v>0</v>
      </c>
    </row>
    <row r="389" spans="1:9" x14ac:dyDescent="0.35">
      <c r="A389" t="s">
        <v>1678</v>
      </c>
      <c r="B389" t="s">
        <v>3985</v>
      </c>
      <c r="D389" t="b">
        <f>IFERROR(VLOOKUP(B389,PatData!$A$2:$A$2000,1,),"")&lt;&gt;""</f>
        <v>1</v>
      </c>
      <c r="F389" t="b">
        <v>0</v>
      </c>
      <c r="G389" t="b">
        <v>1</v>
      </c>
      <c r="H389" t="b">
        <v>0</v>
      </c>
      <c r="I389" t="b">
        <v>0</v>
      </c>
    </row>
    <row r="390" spans="1:9" x14ac:dyDescent="0.35">
      <c r="A390" t="s">
        <v>1679</v>
      </c>
      <c r="B390" t="s">
        <v>3986</v>
      </c>
      <c r="D390" t="b">
        <f>IFERROR(VLOOKUP(B390,PatData!$A$2:$A$2000,1,),"")&lt;&gt;""</f>
        <v>1</v>
      </c>
      <c r="F390" t="b">
        <v>0</v>
      </c>
      <c r="G390" t="b">
        <v>1</v>
      </c>
      <c r="H390" t="b">
        <v>0</v>
      </c>
      <c r="I390" t="b">
        <v>0</v>
      </c>
    </row>
    <row r="391" spans="1:9" x14ac:dyDescent="0.35">
      <c r="A391" t="s">
        <v>1680</v>
      </c>
      <c r="B391" t="s">
        <v>3987</v>
      </c>
      <c r="D391" t="b">
        <f>IFERROR(VLOOKUP(B391,PatData!$A$2:$A$2000,1,),"")&lt;&gt;""</f>
        <v>1</v>
      </c>
      <c r="F391" t="b">
        <v>0</v>
      </c>
      <c r="G391" t="b">
        <v>1</v>
      </c>
      <c r="H391" t="b">
        <v>0</v>
      </c>
      <c r="I391" t="b">
        <v>0</v>
      </c>
    </row>
    <row r="392" spans="1:9" x14ac:dyDescent="0.35">
      <c r="A392" t="s">
        <v>1681</v>
      </c>
      <c r="B392" t="s">
        <v>3988</v>
      </c>
      <c r="D392" t="b">
        <f>IFERROR(VLOOKUP(B392,PatData!$A$2:$A$2000,1,),"")&lt;&gt;""</f>
        <v>1</v>
      </c>
      <c r="F392" t="b">
        <v>0</v>
      </c>
      <c r="G392" t="b">
        <v>1</v>
      </c>
      <c r="H392" t="b">
        <v>0</v>
      </c>
      <c r="I392" t="b">
        <v>0</v>
      </c>
    </row>
    <row r="393" spans="1:9" x14ac:dyDescent="0.35">
      <c r="A393" t="s">
        <v>1682</v>
      </c>
      <c r="B393" t="s">
        <v>3989</v>
      </c>
      <c r="D393" t="b">
        <f>IFERROR(VLOOKUP(B393,PatData!$A$2:$A$2000,1,),"")&lt;&gt;""</f>
        <v>1</v>
      </c>
      <c r="F393" t="b">
        <v>0</v>
      </c>
      <c r="G393" t="b">
        <v>1</v>
      </c>
      <c r="H393" t="b">
        <v>0</v>
      </c>
      <c r="I393" t="b">
        <v>0</v>
      </c>
    </row>
    <row r="394" spans="1:9" x14ac:dyDescent="0.35">
      <c r="A394" t="s">
        <v>1683</v>
      </c>
      <c r="B394" t="s">
        <v>3990</v>
      </c>
      <c r="D394" t="b">
        <f>IFERROR(VLOOKUP(B394,PatData!$A$2:$A$2000,1,),"")&lt;&gt;""</f>
        <v>1</v>
      </c>
      <c r="F394" t="b">
        <v>0</v>
      </c>
      <c r="G394" t="b">
        <v>1</v>
      </c>
      <c r="H394" t="b">
        <v>0</v>
      </c>
      <c r="I394" t="b">
        <v>0</v>
      </c>
    </row>
    <row r="395" spans="1:9" x14ac:dyDescent="0.35">
      <c r="A395" t="s">
        <v>1684</v>
      </c>
      <c r="B395" t="s">
        <v>3991</v>
      </c>
      <c r="D395" t="b">
        <f>IFERROR(VLOOKUP(B395,PatData!$A$2:$A$2000,1,),"")&lt;&gt;""</f>
        <v>1</v>
      </c>
      <c r="F395" t="b">
        <v>0</v>
      </c>
      <c r="G395" t="b">
        <v>1</v>
      </c>
      <c r="H395" t="b">
        <v>0</v>
      </c>
      <c r="I395" t="b">
        <v>0</v>
      </c>
    </row>
    <row r="396" spans="1:9" x14ac:dyDescent="0.35">
      <c r="A396" t="s">
        <v>1685</v>
      </c>
      <c r="B396" t="s">
        <v>3992</v>
      </c>
      <c r="D396" t="b">
        <f>IFERROR(VLOOKUP(B396,PatData!$A$2:$A$2000,1,),"")&lt;&gt;""</f>
        <v>1</v>
      </c>
      <c r="F396" t="b">
        <v>0</v>
      </c>
      <c r="G396" t="b">
        <v>1</v>
      </c>
      <c r="H396" t="b">
        <v>0</v>
      </c>
      <c r="I396" t="b">
        <v>0</v>
      </c>
    </row>
    <row r="397" spans="1:9" x14ac:dyDescent="0.35">
      <c r="A397" t="s">
        <v>1686</v>
      </c>
      <c r="B397" t="s">
        <v>3993</v>
      </c>
      <c r="D397" t="b">
        <f>IFERROR(VLOOKUP(B397,PatData!$A$2:$A$2000,1,),"")&lt;&gt;""</f>
        <v>1</v>
      </c>
      <c r="F397" t="b">
        <v>0</v>
      </c>
      <c r="G397" t="b">
        <v>1</v>
      </c>
      <c r="H397" t="b">
        <v>0</v>
      </c>
      <c r="I397" t="b">
        <v>0</v>
      </c>
    </row>
    <row r="398" spans="1:9" x14ac:dyDescent="0.35">
      <c r="A398" t="s">
        <v>1687</v>
      </c>
      <c r="B398" t="s">
        <v>3994</v>
      </c>
      <c r="D398" t="b">
        <f>IFERROR(VLOOKUP(B398,PatData!$A$2:$A$2000,1,),"")&lt;&gt;""</f>
        <v>1</v>
      </c>
      <c r="F398" t="b">
        <v>0</v>
      </c>
      <c r="G398" t="b">
        <v>1</v>
      </c>
      <c r="H398" t="b">
        <v>0</v>
      </c>
      <c r="I398" t="b">
        <v>0</v>
      </c>
    </row>
    <row r="399" spans="1:9" x14ac:dyDescent="0.35">
      <c r="A399" t="s">
        <v>1688</v>
      </c>
      <c r="B399" t="s">
        <v>3995</v>
      </c>
      <c r="D399" t="b">
        <f>IFERROR(VLOOKUP(B399,PatData!$A$2:$A$2000,1,),"")&lt;&gt;""</f>
        <v>1</v>
      </c>
      <c r="F399" t="b">
        <v>0</v>
      </c>
      <c r="G399" t="b">
        <v>1</v>
      </c>
      <c r="H399" t="b">
        <v>0</v>
      </c>
      <c r="I399" t="b">
        <v>0</v>
      </c>
    </row>
    <row r="400" spans="1:9" x14ac:dyDescent="0.35">
      <c r="A400" t="s">
        <v>1689</v>
      </c>
      <c r="B400" t="s">
        <v>3996</v>
      </c>
      <c r="D400" t="b">
        <f>IFERROR(VLOOKUP(B400,PatData!$A$2:$A$2000,1,),"")&lt;&gt;""</f>
        <v>1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35">
      <c r="A401" t="s">
        <v>1690</v>
      </c>
      <c r="B401" t="s">
        <v>3997</v>
      </c>
      <c r="D401" t="b">
        <f>IFERROR(VLOOKUP(B401,PatData!$A$2:$A$2000,1,),"")&lt;&gt;""</f>
        <v>1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35">
      <c r="A402" t="s">
        <v>1691</v>
      </c>
      <c r="B402" t="s">
        <v>3998</v>
      </c>
      <c r="D402" t="b">
        <f>IFERROR(VLOOKUP(B402,PatData!$A$2:$A$2000,1,),"")&lt;&gt;""</f>
        <v>1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35">
      <c r="A403" t="s">
        <v>1692</v>
      </c>
      <c r="B403" t="s">
        <v>3999</v>
      </c>
      <c r="D403" t="b">
        <f>IFERROR(VLOOKUP(B403,PatData!$A$2:$A$2000,1,),"")&lt;&gt;""</f>
        <v>1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35">
      <c r="A404" t="s">
        <v>1693</v>
      </c>
      <c r="B404" t="s">
        <v>4000</v>
      </c>
      <c r="D404" t="b">
        <f>IFERROR(VLOOKUP(B404,PatData!$A$2:$A$2000,1,),"")&lt;&gt;""</f>
        <v>1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35">
      <c r="A405" t="s">
        <v>1694</v>
      </c>
      <c r="B405" t="s">
        <v>4001</v>
      </c>
      <c r="D405" t="b">
        <f>IFERROR(VLOOKUP(B405,PatData!$A$2:$A$2000,1,),"")&lt;&gt;""</f>
        <v>1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35">
      <c r="A406" t="s">
        <v>1695</v>
      </c>
      <c r="B406" t="s">
        <v>4002</v>
      </c>
      <c r="D406" t="b">
        <f>IFERROR(VLOOKUP(B406,PatData!$A$2:$A$2000,1,),"")&lt;&gt;""</f>
        <v>1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35">
      <c r="A407" t="s">
        <v>1696</v>
      </c>
      <c r="B407" t="s">
        <v>4003</v>
      </c>
      <c r="D407" t="b">
        <f>IFERROR(VLOOKUP(B407,PatData!$A$2:$A$2000,1,),"")&lt;&gt;""</f>
        <v>1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35">
      <c r="A408" t="s">
        <v>1697</v>
      </c>
      <c r="B408" t="s">
        <v>4004</v>
      </c>
      <c r="D408" t="b">
        <f>IFERROR(VLOOKUP(B408,PatData!$A$2:$A$2000,1,),"")&lt;&gt;""</f>
        <v>1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35">
      <c r="A409" t="s">
        <v>1698</v>
      </c>
      <c r="B409" t="s">
        <v>4005</v>
      </c>
      <c r="D409" t="b">
        <f>IFERROR(VLOOKUP(B409,PatData!$A$2:$A$2000,1,),"")&lt;&gt;""</f>
        <v>1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35">
      <c r="A410" t="s">
        <v>1699</v>
      </c>
      <c r="B410" t="s">
        <v>4006</v>
      </c>
      <c r="D410" t="b">
        <f>IFERROR(VLOOKUP(B410,PatData!$A$2:$A$2000,1,),"")&lt;&gt;""</f>
        <v>1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35">
      <c r="A411" t="s">
        <v>1700</v>
      </c>
      <c r="B411" t="s">
        <v>4007</v>
      </c>
      <c r="D411" t="b">
        <f>IFERROR(VLOOKUP(B411,PatData!$A$2:$A$2000,1,),"")&lt;&gt;""</f>
        <v>1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35">
      <c r="A412" t="s">
        <v>1701</v>
      </c>
      <c r="B412" t="s">
        <v>4008</v>
      </c>
      <c r="D412" t="b">
        <f>IFERROR(VLOOKUP(B412,PatData!$A$2:$A$2000,1,),"")&lt;&gt;""</f>
        <v>1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35">
      <c r="A413" t="s">
        <v>1702</v>
      </c>
      <c r="B413" t="s">
        <v>4009</v>
      </c>
      <c r="D413" t="b">
        <f>IFERROR(VLOOKUP(B413,PatData!$A$2:$A$2000,1,),"")&lt;&gt;""</f>
        <v>1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35">
      <c r="A414" t="s">
        <v>1703</v>
      </c>
      <c r="B414" t="s">
        <v>4010</v>
      </c>
      <c r="D414" t="b">
        <f>IFERROR(VLOOKUP(B414,PatData!$A$2:$A$2000,1,),"")&lt;&gt;""</f>
        <v>1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35">
      <c r="A415" t="s">
        <v>1704</v>
      </c>
      <c r="B415" t="s">
        <v>4011</v>
      </c>
      <c r="D415" t="b">
        <f>IFERROR(VLOOKUP(B415,PatData!$A$2:$A$2000,1,),"")&lt;&gt;""</f>
        <v>1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35">
      <c r="A416" t="s">
        <v>1705</v>
      </c>
      <c r="B416" t="s">
        <v>4012</v>
      </c>
      <c r="D416" t="b">
        <f>IFERROR(VLOOKUP(B416,PatData!$A$2:$A$2000,1,),"")&lt;&gt;""</f>
        <v>1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35">
      <c r="A417" t="s">
        <v>1706</v>
      </c>
      <c r="B417" t="s">
        <v>4013</v>
      </c>
      <c r="D417" t="b">
        <f>IFERROR(VLOOKUP(B417,PatData!$A$2:$A$2000,1,),"")&lt;&gt;""</f>
        <v>1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35">
      <c r="A418" t="s">
        <v>1707</v>
      </c>
      <c r="B418" t="s">
        <v>4014</v>
      </c>
      <c r="D418" t="b">
        <f>IFERROR(VLOOKUP(B418,PatData!$A$2:$A$2000,1,),"")&lt;&gt;""</f>
        <v>1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35">
      <c r="A419" t="s">
        <v>1708</v>
      </c>
      <c r="B419" t="s">
        <v>4015</v>
      </c>
      <c r="D419" t="b">
        <f>IFERROR(VLOOKUP(B419,PatData!$A$2:$A$2000,1,),"")&lt;&gt;""</f>
        <v>1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35">
      <c r="A420" t="s">
        <v>1709</v>
      </c>
      <c r="B420" t="s">
        <v>4016</v>
      </c>
      <c r="D420" t="b">
        <f>IFERROR(VLOOKUP(B420,PatData!$A$2:$A$2000,1,),"")&lt;&gt;""</f>
        <v>1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35">
      <c r="A421" t="s">
        <v>1710</v>
      </c>
      <c r="B421" t="s">
        <v>4017</v>
      </c>
      <c r="D421" t="b">
        <f>IFERROR(VLOOKUP(B421,PatData!$A$2:$A$2000,1,),"")&lt;&gt;""</f>
        <v>1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35">
      <c r="A422" t="s">
        <v>1711</v>
      </c>
      <c r="B422" t="s">
        <v>4018</v>
      </c>
      <c r="D422" t="b">
        <f>IFERROR(VLOOKUP(B422,PatData!$A$2:$A$2000,1,),"")&lt;&gt;""</f>
        <v>1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35">
      <c r="A423" t="s">
        <v>1712</v>
      </c>
      <c r="B423" t="s">
        <v>4019</v>
      </c>
      <c r="D423" t="b">
        <f>IFERROR(VLOOKUP(B423,PatData!$A$2:$A$2000,1,),"")&lt;&gt;""</f>
        <v>1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35">
      <c r="A424" t="s">
        <v>1713</v>
      </c>
      <c r="B424" t="s">
        <v>4020</v>
      </c>
      <c r="D424" t="b">
        <f>IFERROR(VLOOKUP(B424,PatData!$A$2:$A$2000,1,),"")&lt;&gt;""</f>
        <v>1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35">
      <c r="A425" t="s">
        <v>1714</v>
      </c>
      <c r="B425" t="s">
        <v>4021</v>
      </c>
      <c r="D425" t="b">
        <f>IFERROR(VLOOKUP(B425,PatData!$A$2:$A$2000,1,),"")&lt;&gt;""</f>
        <v>1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35">
      <c r="A426" t="s">
        <v>1715</v>
      </c>
      <c r="B426" t="s">
        <v>4022</v>
      </c>
      <c r="D426" t="b">
        <f>IFERROR(VLOOKUP(B426,PatData!$A$2:$A$2000,1,),"")&lt;&gt;""</f>
        <v>1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35">
      <c r="A427" t="s">
        <v>1716</v>
      </c>
      <c r="B427" t="s">
        <v>4023</v>
      </c>
      <c r="D427" t="b">
        <f>IFERROR(VLOOKUP(B427,PatData!$A$2:$A$2000,1,),"")&lt;&gt;""</f>
        <v>1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35">
      <c r="A428" t="s">
        <v>1717</v>
      </c>
      <c r="B428" t="s">
        <v>4024</v>
      </c>
      <c r="D428" t="b">
        <f>IFERROR(VLOOKUP(B428,PatData!$A$2:$A$2000,1,),"")&lt;&gt;""</f>
        <v>1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35">
      <c r="A429" t="s">
        <v>1718</v>
      </c>
      <c r="B429" t="s">
        <v>4025</v>
      </c>
      <c r="D429" t="b">
        <f>IFERROR(VLOOKUP(B429,PatData!$A$2:$A$2000,1,),"")&lt;&gt;""</f>
        <v>1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35">
      <c r="A430" t="s">
        <v>1719</v>
      </c>
      <c r="B430" t="s">
        <v>4026</v>
      </c>
      <c r="D430" t="b">
        <f>IFERROR(VLOOKUP(B430,PatData!$A$2:$A$2000,1,),"")&lt;&gt;""</f>
        <v>1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35">
      <c r="A431" t="s">
        <v>1720</v>
      </c>
      <c r="B431" t="s">
        <v>4027</v>
      </c>
      <c r="D431" t="b">
        <f>IFERROR(VLOOKUP(B431,PatData!$A$2:$A$2000,1,),"")&lt;&gt;""</f>
        <v>1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35">
      <c r="A432" t="s">
        <v>1721</v>
      </c>
      <c r="B432" t="s">
        <v>4028</v>
      </c>
      <c r="D432" t="b">
        <f>IFERROR(VLOOKUP(B432,PatData!$A$2:$A$2000,1,),"")&lt;&gt;""</f>
        <v>1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35">
      <c r="A433" t="s">
        <v>1722</v>
      </c>
      <c r="B433" t="s">
        <v>4029</v>
      </c>
      <c r="D433" t="b">
        <f>IFERROR(VLOOKUP(B433,PatData!$A$2:$A$2000,1,),"")&lt;&gt;""</f>
        <v>1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35">
      <c r="A434" t="s">
        <v>1723</v>
      </c>
      <c r="B434" t="s">
        <v>4030</v>
      </c>
      <c r="D434" t="b">
        <f>IFERROR(VLOOKUP(B434,PatData!$A$2:$A$2000,1,),"")&lt;&gt;""</f>
        <v>1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35">
      <c r="A435" t="s">
        <v>1724</v>
      </c>
      <c r="B435" t="s">
        <v>4031</v>
      </c>
      <c r="D435" t="b">
        <f>IFERROR(VLOOKUP(B435,PatData!$A$2:$A$2000,1,),"")&lt;&gt;""</f>
        <v>1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35">
      <c r="A436" t="s">
        <v>1725</v>
      </c>
      <c r="B436" t="s">
        <v>4032</v>
      </c>
      <c r="D436" t="b">
        <f>IFERROR(VLOOKUP(B436,PatData!$A$2:$A$2000,1,),"")&lt;&gt;""</f>
        <v>1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35">
      <c r="A437" t="s">
        <v>1726</v>
      </c>
      <c r="B437" t="s">
        <v>4033</v>
      </c>
      <c r="D437" t="b">
        <f>IFERROR(VLOOKUP(B437,PatData!$A$2:$A$2000,1,),"")&lt;&gt;""</f>
        <v>1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35">
      <c r="A438" t="s">
        <v>1727</v>
      </c>
      <c r="B438" t="s">
        <v>4034</v>
      </c>
      <c r="D438" t="b">
        <f>IFERROR(VLOOKUP(B438,PatData!$A$2:$A$2000,1,),"")&lt;&gt;""</f>
        <v>1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35">
      <c r="A439" t="s">
        <v>1728</v>
      </c>
      <c r="B439" t="s">
        <v>4035</v>
      </c>
      <c r="D439" t="b">
        <f>IFERROR(VLOOKUP(B439,PatData!$A$2:$A$2000,1,),"")&lt;&gt;""</f>
        <v>1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35">
      <c r="A440" t="s">
        <v>1729</v>
      </c>
      <c r="B440" t="s">
        <v>4036</v>
      </c>
      <c r="D440" t="b">
        <f>IFERROR(VLOOKUP(B440,PatData!$A$2:$A$2000,1,),"")&lt;&gt;""</f>
        <v>1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35">
      <c r="A441" t="s">
        <v>1730</v>
      </c>
      <c r="B441" t="s">
        <v>4037</v>
      </c>
      <c r="D441" t="b">
        <f>IFERROR(VLOOKUP(B441,PatData!$A$2:$A$2000,1,),"")&lt;&gt;""</f>
        <v>1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35">
      <c r="A442" t="s">
        <v>1731</v>
      </c>
      <c r="B442" t="s">
        <v>4038</v>
      </c>
      <c r="D442" t="b">
        <f>IFERROR(VLOOKUP(B442,PatData!$A$2:$A$2000,1,),"")&lt;&gt;""</f>
        <v>1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35">
      <c r="A443" t="s">
        <v>1732</v>
      </c>
      <c r="B443" t="s">
        <v>4039</v>
      </c>
      <c r="D443" t="b">
        <f>IFERROR(VLOOKUP(B443,PatData!$A$2:$A$2000,1,),"")&lt;&gt;""</f>
        <v>1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35">
      <c r="A444" t="s">
        <v>1733</v>
      </c>
      <c r="B444" t="s">
        <v>4040</v>
      </c>
      <c r="D444" t="b">
        <f>IFERROR(VLOOKUP(B444,PatData!$A$2:$A$2000,1,),"")&lt;&gt;""</f>
        <v>1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35">
      <c r="A445" t="s">
        <v>1734</v>
      </c>
      <c r="B445" t="s">
        <v>4041</v>
      </c>
      <c r="D445" t="b">
        <f>IFERROR(VLOOKUP(B445,PatData!$A$2:$A$2000,1,),"")&lt;&gt;""</f>
        <v>1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35">
      <c r="A446" t="s">
        <v>1735</v>
      </c>
      <c r="B446" t="s">
        <v>4042</v>
      </c>
      <c r="D446" t="b">
        <f>IFERROR(VLOOKUP(B446,PatData!$A$2:$A$2000,1,),"")&lt;&gt;""</f>
        <v>1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35">
      <c r="A447" t="s">
        <v>1736</v>
      </c>
      <c r="B447" t="s">
        <v>4043</v>
      </c>
      <c r="D447" t="b">
        <f>IFERROR(VLOOKUP(B447,PatData!$A$2:$A$2000,1,),"")&lt;&gt;""</f>
        <v>1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35">
      <c r="A448" t="s">
        <v>1737</v>
      </c>
      <c r="B448" t="s">
        <v>4044</v>
      </c>
      <c r="D448" t="b">
        <f>IFERROR(VLOOKUP(B448,PatData!$A$2:$A$2000,1,),"")&lt;&gt;""</f>
        <v>1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35">
      <c r="A449" t="s">
        <v>1738</v>
      </c>
      <c r="B449" t="s">
        <v>4045</v>
      </c>
      <c r="D449" t="b">
        <f>IFERROR(VLOOKUP(B449,PatData!$A$2:$A$2000,1,),"")&lt;&gt;""</f>
        <v>1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35">
      <c r="A450" t="s">
        <v>1739</v>
      </c>
      <c r="B450" t="s">
        <v>4046</v>
      </c>
      <c r="D450" t="b">
        <f>IFERROR(VLOOKUP(B450,PatData!$A$2:$A$2000,1,),"")&lt;&gt;""</f>
        <v>1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35">
      <c r="A451" t="s">
        <v>1740</v>
      </c>
      <c r="B451" t="s">
        <v>4047</v>
      </c>
      <c r="D451" t="b">
        <f>IFERROR(VLOOKUP(B451,PatData!$A$2:$A$2000,1,),"")&lt;&gt;""</f>
        <v>1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35">
      <c r="A452" t="s">
        <v>1741</v>
      </c>
      <c r="B452" t="s">
        <v>4048</v>
      </c>
      <c r="D452" t="b">
        <f>IFERROR(VLOOKUP(B452,PatData!$A$2:$A$2000,1,),"")&lt;&gt;""</f>
        <v>1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35">
      <c r="A453" t="s">
        <v>1742</v>
      </c>
      <c r="B453" t="s">
        <v>4049</v>
      </c>
      <c r="D453" t="b">
        <f>IFERROR(VLOOKUP(B453,PatData!$A$2:$A$2000,1,),"")&lt;&gt;""</f>
        <v>1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35">
      <c r="A454" t="s">
        <v>1743</v>
      </c>
      <c r="B454" t="s">
        <v>4050</v>
      </c>
      <c r="D454" t="b">
        <f>IFERROR(VLOOKUP(B454,PatData!$A$2:$A$2000,1,),"")&lt;&gt;""</f>
        <v>1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35">
      <c r="A455" t="s">
        <v>1744</v>
      </c>
      <c r="B455" t="s">
        <v>4051</v>
      </c>
      <c r="D455" t="b">
        <f>IFERROR(VLOOKUP(B455,PatData!$A$2:$A$2000,1,),"")&lt;&gt;""</f>
        <v>1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35">
      <c r="A456" t="s">
        <v>1745</v>
      </c>
      <c r="B456" t="s">
        <v>4052</v>
      </c>
      <c r="D456" t="b">
        <f>IFERROR(VLOOKUP(B456,PatData!$A$2:$A$2000,1,),"")&lt;&gt;""</f>
        <v>1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35">
      <c r="A457" t="s">
        <v>1746</v>
      </c>
      <c r="B457" t="s">
        <v>4053</v>
      </c>
      <c r="D457" t="b">
        <f>IFERROR(VLOOKUP(B457,PatData!$A$2:$A$2000,1,),"")&lt;&gt;""</f>
        <v>1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35">
      <c r="A458" t="s">
        <v>1747</v>
      </c>
      <c r="B458" t="s">
        <v>4054</v>
      </c>
      <c r="D458" t="b">
        <f>IFERROR(VLOOKUP(B458,PatData!$A$2:$A$2000,1,),"")&lt;&gt;""</f>
        <v>1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35">
      <c r="A459" t="s">
        <v>1748</v>
      </c>
      <c r="B459" t="s">
        <v>4055</v>
      </c>
      <c r="D459" t="b">
        <f>IFERROR(VLOOKUP(B459,PatData!$A$2:$A$2000,1,),"")&lt;&gt;""</f>
        <v>1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35">
      <c r="A460" t="s">
        <v>1749</v>
      </c>
      <c r="B460" t="s">
        <v>4056</v>
      </c>
      <c r="D460" t="b">
        <f>IFERROR(VLOOKUP(B460,PatData!$A$2:$A$2000,1,),"")&lt;&gt;""</f>
        <v>1</v>
      </c>
      <c r="E460">
        <v>1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35">
      <c r="A461" t="s">
        <v>1750</v>
      </c>
      <c r="B461" t="s">
        <v>4057</v>
      </c>
      <c r="D461" t="b">
        <f>IFERROR(VLOOKUP(B461,PatData!$A$2:$A$2000,1,),"")&lt;&gt;""</f>
        <v>1</v>
      </c>
      <c r="E461">
        <v>1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35">
      <c r="A462" t="s">
        <v>1751</v>
      </c>
      <c r="B462" t="s">
        <v>4058</v>
      </c>
      <c r="D462" t="b">
        <f>IFERROR(VLOOKUP(B462,PatData!$A$2:$A$2000,1,),"")&lt;&gt;""</f>
        <v>1</v>
      </c>
      <c r="E462">
        <v>1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35">
      <c r="A463" t="s">
        <v>1752</v>
      </c>
      <c r="B463" t="s">
        <v>4059</v>
      </c>
      <c r="D463" t="b">
        <f>IFERROR(VLOOKUP(B463,PatData!$A$2:$A$2000,1,),"")&lt;&gt;""</f>
        <v>1</v>
      </c>
      <c r="E463">
        <v>1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35">
      <c r="A464" t="s">
        <v>1753</v>
      </c>
      <c r="B464" t="s">
        <v>4060</v>
      </c>
      <c r="D464" t="b">
        <f>IFERROR(VLOOKUP(B464,PatData!$A$2:$A$2000,1,),"")&lt;&gt;""</f>
        <v>1</v>
      </c>
      <c r="E464">
        <v>1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35">
      <c r="A465" t="s">
        <v>1754</v>
      </c>
      <c r="B465" t="s">
        <v>4061</v>
      </c>
      <c r="D465" t="b">
        <f>IFERROR(VLOOKUP(B465,PatData!$A$2:$A$2000,1,),"")&lt;&gt;""</f>
        <v>1</v>
      </c>
      <c r="E465">
        <v>1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35">
      <c r="A466" t="s">
        <v>1755</v>
      </c>
      <c r="B466" t="s">
        <v>4062</v>
      </c>
      <c r="D466" t="b">
        <f>IFERROR(VLOOKUP(B466,PatData!$A$2:$A$2000,1,),"")&lt;&gt;""</f>
        <v>1</v>
      </c>
      <c r="E466">
        <v>1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35">
      <c r="A467" t="s">
        <v>1756</v>
      </c>
      <c r="B467" t="s">
        <v>4063</v>
      </c>
      <c r="D467" t="b">
        <f>IFERROR(VLOOKUP(B467,PatData!$A$2:$A$2000,1,),"")&lt;&gt;""</f>
        <v>1</v>
      </c>
      <c r="E467">
        <v>1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35">
      <c r="A468" t="s">
        <v>1757</v>
      </c>
      <c r="B468" t="s">
        <v>4064</v>
      </c>
      <c r="D468" t="b">
        <f>IFERROR(VLOOKUP(B468,PatData!$A$2:$A$2000,1,),"")&lt;&gt;""</f>
        <v>1</v>
      </c>
      <c r="E468">
        <v>1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35">
      <c r="A469" t="s">
        <v>1758</v>
      </c>
      <c r="B469" t="s">
        <v>4065</v>
      </c>
      <c r="D469" t="b">
        <f>IFERROR(VLOOKUP(B469,PatData!$A$2:$A$2000,1,),"")&lt;&gt;""</f>
        <v>1</v>
      </c>
      <c r="E469">
        <v>1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35">
      <c r="A470" t="s">
        <v>1759</v>
      </c>
      <c r="B470" t="s">
        <v>4066</v>
      </c>
      <c r="D470" t="b">
        <f>IFERROR(VLOOKUP(B470,PatData!$A$2:$A$2000,1,),"")&lt;&gt;""</f>
        <v>1</v>
      </c>
      <c r="E470">
        <v>1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35">
      <c r="A471" t="s">
        <v>1760</v>
      </c>
      <c r="B471" t="s">
        <v>4067</v>
      </c>
      <c r="D471" t="b">
        <f>IFERROR(VLOOKUP(B471,PatData!$A$2:$A$2000,1,),"")&lt;&gt;""</f>
        <v>1</v>
      </c>
      <c r="E471">
        <v>1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35">
      <c r="A472" t="s">
        <v>1761</v>
      </c>
      <c r="B472" t="s">
        <v>4068</v>
      </c>
      <c r="D472" t="b">
        <f>IFERROR(VLOOKUP(B472,PatData!$A$2:$A$2000,1,),"")&lt;&gt;""</f>
        <v>1</v>
      </c>
      <c r="E472">
        <v>1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35">
      <c r="A473" t="s">
        <v>1762</v>
      </c>
      <c r="B473" t="s">
        <v>4069</v>
      </c>
      <c r="D473" t="b">
        <f>IFERROR(VLOOKUP(B473,PatData!$A$2:$A$2000,1,),"")&lt;&gt;""</f>
        <v>1</v>
      </c>
      <c r="E473">
        <v>1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35">
      <c r="A474" t="s">
        <v>1763</v>
      </c>
      <c r="B474" t="s">
        <v>4070</v>
      </c>
      <c r="D474" t="b">
        <f>IFERROR(VLOOKUP(B474,PatData!$A$2:$A$2000,1,),"")&lt;&gt;""</f>
        <v>1</v>
      </c>
      <c r="E474">
        <v>1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35">
      <c r="A475" t="s">
        <v>1764</v>
      </c>
      <c r="B475" t="s">
        <v>4071</v>
      </c>
      <c r="D475" t="b">
        <f>IFERROR(VLOOKUP(B475,PatData!$A$2:$A$2000,1,),"")&lt;&gt;""</f>
        <v>1</v>
      </c>
      <c r="E475">
        <v>1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35">
      <c r="A476" t="s">
        <v>1765</v>
      </c>
      <c r="B476" t="s">
        <v>4072</v>
      </c>
      <c r="D476" t="b">
        <f>IFERROR(VLOOKUP(B476,PatData!$A$2:$A$2000,1,),"")&lt;&gt;""</f>
        <v>1</v>
      </c>
      <c r="E476">
        <v>1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35">
      <c r="A477" t="s">
        <v>1766</v>
      </c>
      <c r="B477" t="s">
        <v>4073</v>
      </c>
      <c r="D477" t="b">
        <f>IFERROR(VLOOKUP(B477,PatData!$A$2:$A$2000,1,),"")&lt;&gt;""</f>
        <v>1</v>
      </c>
      <c r="E477">
        <v>1</v>
      </c>
      <c r="F477" t="b">
        <v>0</v>
      </c>
      <c r="G477" t="b">
        <v>1</v>
      </c>
      <c r="H477" t="b">
        <v>0</v>
      </c>
      <c r="I477" t="b">
        <v>0</v>
      </c>
    </row>
    <row r="478" spans="1:9" x14ac:dyDescent="0.35">
      <c r="A478" t="s">
        <v>1767</v>
      </c>
      <c r="B478" t="s">
        <v>4074</v>
      </c>
      <c r="D478" t="b">
        <f>IFERROR(VLOOKUP(B478,PatData!$A$2:$A$2000,1,),"")&lt;&gt;""</f>
        <v>1</v>
      </c>
      <c r="E478">
        <v>1</v>
      </c>
      <c r="F478" t="b">
        <v>0</v>
      </c>
      <c r="G478" t="b">
        <v>1</v>
      </c>
      <c r="H478" t="b">
        <v>0</v>
      </c>
      <c r="I478" t="b">
        <v>0</v>
      </c>
    </row>
    <row r="479" spans="1:9" x14ac:dyDescent="0.35">
      <c r="A479" t="s">
        <v>1768</v>
      </c>
      <c r="B479" t="s">
        <v>4075</v>
      </c>
      <c r="D479" t="b">
        <f>IFERROR(VLOOKUP(B479,PatData!$A$2:$A$2000,1,),"")&lt;&gt;""</f>
        <v>1</v>
      </c>
      <c r="E479">
        <v>1</v>
      </c>
      <c r="F479" t="b">
        <v>0</v>
      </c>
      <c r="G479" t="b">
        <v>1</v>
      </c>
      <c r="H479" t="b">
        <v>0</v>
      </c>
      <c r="I479" t="b">
        <v>0</v>
      </c>
    </row>
    <row r="480" spans="1:9" x14ac:dyDescent="0.35">
      <c r="A480" t="s">
        <v>1769</v>
      </c>
      <c r="B480" t="s">
        <v>4076</v>
      </c>
      <c r="D480" t="b">
        <f>IFERROR(VLOOKUP(B480,PatData!$A$2:$A$2000,1,),"")&lt;&gt;""</f>
        <v>1</v>
      </c>
      <c r="E480">
        <v>1</v>
      </c>
      <c r="F480" t="b">
        <v>0</v>
      </c>
      <c r="G480" t="b">
        <v>1</v>
      </c>
      <c r="H480" t="b">
        <v>0</v>
      </c>
      <c r="I480" t="b">
        <v>0</v>
      </c>
    </row>
    <row r="481" spans="1:9" x14ac:dyDescent="0.35">
      <c r="A481" t="s">
        <v>1770</v>
      </c>
      <c r="B481" t="s">
        <v>4077</v>
      </c>
      <c r="D481" t="b">
        <f>IFERROR(VLOOKUP(B481,PatData!$A$2:$A$2000,1,),"")&lt;&gt;""</f>
        <v>1</v>
      </c>
      <c r="E481">
        <v>1</v>
      </c>
      <c r="F481" t="b">
        <v>0</v>
      </c>
      <c r="G481" t="b">
        <v>1</v>
      </c>
      <c r="H481" t="b">
        <v>0</v>
      </c>
      <c r="I481" t="b">
        <v>0</v>
      </c>
    </row>
    <row r="482" spans="1:9" x14ac:dyDescent="0.35">
      <c r="A482" t="s">
        <v>1771</v>
      </c>
      <c r="B482" t="s">
        <v>4078</v>
      </c>
      <c r="D482" t="b">
        <f>IFERROR(VLOOKUP(B482,PatData!$A$2:$A$2000,1,),"")&lt;&gt;""</f>
        <v>1</v>
      </c>
      <c r="E482">
        <v>1</v>
      </c>
      <c r="F482" t="b">
        <v>0</v>
      </c>
      <c r="G482" t="b">
        <v>1</v>
      </c>
      <c r="H482" t="b">
        <v>0</v>
      </c>
      <c r="I482" t="b">
        <v>0</v>
      </c>
    </row>
    <row r="483" spans="1:9" x14ac:dyDescent="0.35">
      <c r="A483" t="s">
        <v>1772</v>
      </c>
      <c r="B483" t="s">
        <v>4079</v>
      </c>
      <c r="D483" t="b">
        <f>IFERROR(VLOOKUP(B483,PatData!$A$2:$A$2000,1,),"")&lt;&gt;""</f>
        <v>1</v>
      </c>
      <c r="E483">
        <v>1</v>
      </c>
      <c r="F483" t="b">
        <v>0</v>
      </c>
      <c r="G483" t="b">
        <v>1</v>
      </c>
      <c r="H483" t="b">
        <v>0</v>
      </c>
      <c r="I483" t="b">
        <v>0</v>
      </c>
    </row>
    <row r="484" spans="1:9" x14ac:dyDescent="0.35">
      <c r="A484" t="s">
        <v>1773</v>
      </c>
      <c r="B484" t="s">
        <v>4080</v>
      </c>
      <c r="D484" t="b">
        <f>IFERROR(VLOOKUP(B484,PatData!$A$2:$A$2000,1,),"")&lt;&gt;""</f>
        <v>1</v>
      </c>
      <c r="E484">
        <v>1</v>
      </c>
      <c r="F484" t="b">
        <v>0</v>
      </c>
      <c r="G484" t="b">
        <v>1</v>
      </c>
      <c r="H484" t="b">
        <v>0</v>
      </c>
      <c r="I484" t="b">
        <v>0</v>
      </c>
    </row>
    <row r="485" spans="1:9" x14ac:dyDescent="0.35">
      <c r="A485" t="s">
        <v>1774</v>
      </c>
      <c r="B485" t="s">
        <v>4081</v>
      </c>
      <c r="D485" t="b">
        <f>IFERROR(VLOOKUP(B485,PatData!$A$2:$A$2000,1,),"")&lt;&gt;""</f>
        <v>1</v>
      </c>
      <c r="E485">
        <v>1</v>
      </c>
      <c r="F485" t="b">
        <v>0</v>
      </c>
      <c r="G485" t="b">
        <v>1</v>
      </c>
      <c r="H485" t="b">
        <v>0</v>
      </c>
      <c r="I485" t="b">
        <v>0</v>
      </c>
    </row>
    <row r="486" spans="1:9" x14ac:dyDescent="0.35">
      <c r="A486" t="s">
        <v>1775</v>
      </c>
      <c r="B486" t="s">
        <v>4082</v>
      </c>
      <c r="D486" t="b">
        <f>IFERROR(VLOOKUP(B486,PatData!$A$2:$A$2000,1,),"")&lt;&gt;""</f>
        <v>1</v>
      </c>
      <c r="E486">
        <v>1</v>
      </c>
      <c r="F486" t="b">
        <v>0</v>
      </c>
      <c r="G486" t="b">
        <v>1</v>
      </c>
      <c r="H486" t="b">
        <v>0</v>
      </c>
      <c r="I486" t="b">
        <v>0</v>
      </c>
    </row>
    <row r="487" spans="1:9" x14ac:dyDescent="0.35">
      <c r="A487" t="s">
        <v>1776</v>
      </c>
      <c r="B487" t="s">
        <v>4083</v>
      </c>
      <c r="D487" t="b">
        <f>IFERROR(VLOOKUP(B487,PatData!$A$2:$A$2000,1,),"")&lt;&gt;""</f>
        <v>1</v>
      </c>
      <c r="E487">
        <v>1</v>
      </c>
      <c r="F487" t="b">
        <v>0</v>
      </c>
      <c r="G487" t="b">
        <v>1</v>
      </c>
      <c r="H487" t="b">
        <v>0</v>
      </c>
      <c r="I487" t="b">
        <v>0</v>
      </c>
    </row>
    <row r="488" spans="1:9" x14ac:dyDescent="0.35">
      <c r="A488" t="s">
        <v>1777</v>
      </c>
      <c r="B488" t="s">
        <v>4084</v>
      </c>
      <c r="D488" t="b">
        <f>IFERROR(VLOOKUP(B488,PatData!$A$2:$A$2000,1,),"")&lt;&gt;""</f>
        <v>1</v>
      </c>
      <c r="E488">
        <v>1</v>
      </c>
      <c r="F488" t="b">
        <v>0</v>
      </c>
      <c r="G488" t="b">
        <v>1</v>
      </c>
      <c r="H488" t="b">
        <v>0</v>
      </c>
      <c r="I488" t="b">
        <v>0</v>
      </c>
    </row>
    <row r="489" spans="1:9" x14ac:dyDescent="0.35">
      <c r="A489" t="s">
        <v>1778</v>
      </c>
      <c r="B489" t="s">
        <v>4085</v>
      </c>
      <c r="D489" t="b">
        <f>IFERROR(VLOOKUP(B489,PatData!$A$2:$A$2000,1,),"")&lt;&gt;""</f>
        <v>1</v>
      </c>
      <c r="E489">
        <v>1</v>
      </c>
      <c r="F489" t="b">
        <v>0</v>
      </c>
      <c r="G489" t="b">
        <v>1</v>
      </c>
      <c r="H489" t="b">
        <v>0</v>
      </c>
      <c r="I489" t="b">
        <v>0</v>
      </c>
    </row>
    <row r="490" spans="1:9" x14ac:dyDescent="0.35">
      <c r="A490" t="s">
        <v>1779</v>
      </c>
      <c r="B490" t="s">
        <v>4086</v>
      </c>
      <c r="D490" t="b">
        <f>IFERROR(VLOOKUP(B490,PatData!$A$2:$A$2000,1,),"")&lt;&gt;""</f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35">
      <c r="A491" t="s">
        <v>1780</v>
      </c>
      <c r="B491" t="s">
        <v>4087</v>
      </c>
      <c r="D491" t="b">
        <f>IFERROR(VLOOKUP(B491,PatData!$A$2:$A$2000,1,),"")&lt;&gt;""</f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35">
      <c r="A492" t="s">
        <v>1781</v>
      </c>
      <c r="B492" t="s">
        <v>4088</v>
      </c>
      <c r="D492" t="b">
        <f>IFERROR(VLOOKUP(B492,PatData!$A$2:$A$2000,1,),"")&lt;&gt;""</f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35">
      <c r="A493" t="s">
        <v>1782</v>
      </c>
      <c r="B493" t="s">
        <v>4089</v>
      </c>
      <c r="D493" t="b">
        <f>IFERROR(VLOOKUP(B493,PatData!$A$2:$A$2000,1,),"")&lt;&gt;""</f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35">
      <c r="A494" t="s">
        <v>1783</v>
      </c>
      <c r="B494" t="s">
        <v>4090</v>
      </c>
      <c r="D494" t="b">
        <f>IFERROR(VLOOKUP(B494,PatData!$A$2:$A$2000,1,),"")&lt;&gt;""</f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35">
      <c r="A495" t="s">
        <v>1784</v>
      </c>
      <c r="B495" t="s">
        <v>4091</v>
      </c>
      <c r="D495" t="b">
        <f>IFERROR(VLOOKUP(B495,PatData!$A$2:$A$2000,1,),"")&lt;&gt;""</f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35">
      <c r="A496" t="s">
        <v>1785</v>
      </c>
      <c r="B496" t="s">
        <v>4092</v>
      </c>
      <c r="D496" t="b">
        <f>IFERROR(VLOOKUP(B496,PatData!$A$2:$A$2000,1,),"")&lt;&gt;""</f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35">
      <c r="A497" t="s">
        <v>1786</v>
      </c>
      <c r="B497" t="s">
        <v>4093</v>
      </c>
      <c r="D497" t="b">
        <f>IFERROR(VLOOKUP(B497,PatData!$A$2:$A$2000,1,),"")&lt;&gt;""</f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35">
      <c r="A498" t="s">
        <v>1787</v>
      </c>
      <c r="B498" t="s">
        <v>4094</v>
      </c>
      <c r="D498" t="b">
        <f>IFERROR(VLOOKUP(B498,PatData!$A$2:$A$2000,1,),"")&lt;&gt;""</f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35">
      <c r="A499" t="s">
        <v>1788</v>
      </c>
      <c r="B499" t="s">
        <v>4095</v>
      </c>
      <c r="D499" t="b">
        <f>IFERROR(VLOOKUP(B499,PatData!$A$2:$A$2000,1,),"")&lt;&gt;""</f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35">
      <c r="A500" t="s">
        <v>1789</v>
      </c>
      <c r="B500" t="s">
        <v>4096</v>
      </c>
      <c r="D500" t="b">
        <f>IFERROR(VLOOKUP(B500,PatData!$A$2:$A$2000,1,),"")&lt;&gt;""</f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35">
      <c r="A501" t="s">
        <v>1790</v>
      </c>
      <c r="B501" t="s">
        <v>4097</v>
      </c>
      <c r="D501" t="b">
        <f>IFERROR(VLOOKUP(B501,PatData!$A$2:$A$2000,1,),"")&lt;&gt;""</f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35">
      <c r="A502" t="s">
        <v>1791</v>
      </c>
      <c r="B502" t="s">
        <v>4098</v>
      </c>
      <c r="D502" t="b">
        <f>IFERROR(VLOOKUP(B502,PatData!$A$2:$A$2000,1,),"")&lt;&gt;""</f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35">
      <c r="A503" t="s">
        <v>1792</v>
      </c>
      <c r="B503" t="s">
        <v>4099</v>
      </c>
      <c r="D503" t="b">
        <f>IFERROR(VLOOKUP(B503,PatData!$A$2:$A$2000,1,),"")&lt;&gt;""</f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35">
      <c r="A504" t="s">
        <v>1793</v>
      </c>
      <c r="B504" t="s">
        <v>4100</v>
      </c>
      <c r="D504" t="b">
        <f>IFERROR(VLOOKUP(B504,PatData!$A$2:$A$2000,1,),"")&lt;&gt;""</f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35">
      <c r="A505" t="s">
        <v>1794</v>
      </c>
      <c r="B505" t="s">
        <v>4101</v>
      </c>
      <c r="D505" t="b">
        <f>IFERROR(VLOOKUP(B505,PatData!$A$2:$A$2000,1,),"")&lt;&gt;""</f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35">
      <c r="A506" t="s">
        <v>1795</v>
      </c>
      <c r="B506" t="s">
        <v>4102</v>
      </c>
      <c r="D506" t="b">
        <f>IFERROR(VLOOKUP(B506,PatData!$A$2:$A$2000,1,),"")&lt;&gt;""</f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35">
      <c r="A507" t="s">
        <v>1796</v>
      </c>
      <c r="B507" t="s">
        <v>4103</v>
      </c>
      <c r="D507" t="b">
        <f>IFERROR(VLOOKUP(B507,PatData!$A$2:$A$2000,1,),"")&lt;&gt;""</f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35">
      <c r="A508" t="s">
        <v>1797</v>
      </c>
      <c r="B508" t="s">
        <v>4104</v>
      </c>
      <c r="D508" t="b">
        <f>IFERROR(VLOOKUP(B508,PatData!$A$2:$A$2000,1,),"")&lt;&gt;""</f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35">
      <c r="A509" t="s">
        <v>1798</v>
      </c>
      <c r="B509" t="s">
        <v>4105</v>
      </c>
      <c r="D509" t="b">
        <f>IFERROR(VLOOKUP(B509,PatData!$A$2:$A$2000,1,),"")&lt;&gt;""</f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35">
      <c r="A510" t="s">
        <v>1799</v>
      </c>
      <c r="B510" t="s">
        <v>4106</v>
      </c>
      <c r="D510" t="b">
        <f>IFERROR(VLOOKUP(B510,PatData!$A$2:$A$2000,1,),"")&lt;&gt;""</f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35">
      <c r="A511" t="s">
        <v>1800</v>
      </c>
      <c r="B511" t="s">
        <v>4107</v>
      </c>
      <c r="D511" t="b">
        <f>IFERROR(VLOOKUP(B511,PatData!$A$2:$A$2000,1,),"")&lt;&gt;""</f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35">
      <c r="A512" t="s">
        <v>1801</v>
      </c>
      <c r="B512" t="s">
        <v>4108</v>
      </c>
      <c r="D512" t="b">
        <f>IFERROR(VLOOKUP(B512,PatData!$A$2:$A$2000,1,),"")&lt;&gt;""</f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35">
      <c r="A513" t="s">
        <v>1802</v>
      </c>
      <c r="B513" t="s">
        <v>4109</v>
      </c>
      <c r="D513" t="b">
        <f>IFERROR(VLOOKUP(B513,PatData!$A$2:$A$2000,1,),"")&lt;&gt;""</f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35">
      <c r="A514" t="s">
        <v>1803</v>
      </c>
      <c r="B514" t="s">
        <v>4110</v>
      </c>
      <c r="D514" t="b">
        <f>IFERROR(VLOOKUP(B514,PatData!$A$2:$A$2000,1,),"")&lt;&gt;""</f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35">
      <c r="A515" t="s">
        <v>1804</v>
      </c>
      <c r="B515" t="s">
        <v>4111</v>
      </c>
      <c r="D515" t="b">
        <f>IFERROR(VLOOKUP(B515,PatData!$A$2:$A$2000,1,),"")&lt;&gt;""</f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35">
      <c r="A516" t="s">
        <v>1805</v>
      </c>
      <c r="B516" t="s">
        <v>4112</v>
      </c>
      <c r="D516" t="b">
        <f>IFERROR(VLOOKUP(B516,PatData!$A$2:$A$2000,1,),"")&lt;&gt;""</f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35">
      <c r="A517" t="s">
        <v>1806</v>
      </c>
      <c r="B517" t="s">
        <v>4113</v>
      </c>
      <c r="D517" t="b">
        <f>IFERROR(VLOOKUP(B517,PatData!$A$2:$A$2000,1,),"")&lt;&gt;""</f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35">
      <c r="A518" t="s">
        <v>1807</v>
      </c>
      <c r="B518" t="s">
        <v>4114</v>
      </c>
      <c r="D518" t="b">
        <f>IFERROR(VLOOKUP(B518,PatData!$A$2:$A$2000,1,),"")&lt;&gt;""</f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35">
      <c r="A519" t="s">
        <v>1808</v>
      </c>
      <c r="B519" t="s">
        <v>4115</v>
      </c>
      <c r="D519" t="b">
        <f>IFERROR(VLOOKUP(B519,PatData!$A$2:$A$2000,1,),"")&lt;&gt;""</f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35">
      <c r="A520" t="s">
        <v>1311</v>
      </c>
      <c r="B520" t="s">
        <v>4145</v>
      </c>
      <c r="D520" t="b">
        <f>IFERROR(VLOOKUP(B520,PatData!$A$2:$A$2000,1,),"")&lt;&gt;""</f>
        <v>1</v>
      </c>
      <c r="E520">
        <v>0</v>
      </c>
      <c r="F520" t="b">
        <v>0</v>
      </c>
      <c r="G520" t="b">
        <v>1</v>
      </c>
      <c r="H520" t="b">
        <v>1</v>
      </c>
      <c r="I520" t="b">
        <v>0</v>
      </c>
    </row>
    <row r="521" spans="1:9" x14ac:dyDescent="0.35">
      <c r="A521" t="s">
        <v>1313</v>
      </c>
      <c r="B521" t="s">
        <v>4147</v>
      </c>
      <c r="D521" t="b">
        <f>IFERROR(VLOOKUP(B521,PatData!$A$2:$A$2000,1,),"")&lt;&gt;""</f>
        <v>1</v>
      </c>
      <c r="F521" t="b">
        <v>0</v>
      </c>
      <c r="G521" t="b">
        <v>1</v>
      </c>
      <c r="H521" t="b">
        <v>1</v>
      </c>
      <c r="I521" t="b">
        <v>0</v>
      </c>
    </row>
    <row r="522" spans="1:9" x14ac:dyDescent="0.35">
      <c r="A522" t="s">
        <v>1315</v>
      </c>
      <c r="B522" t="s">
        <v>4151</v>
      </c>
      <c r="D522" t="b">
        <f>IFERROR(VLOOKUP(B522,PatData!$A$2:$A$2000,1,),"")&lt;&gt;""</f>
        <v>1</v>
      </c>
      <c r="E522">
        <v>5000</v>
      </c>
      <c r="F522" t="b">
        <v>0</v>
      </c>
      <c r="G522" t="b">
        <v>1</v>
      </c>
      <c r="H522" t="b">
        <v>1</v>
      </c>
      <c r="I522" t="b">
        <v>0</v>
      </c>
    </row>
    <row r="523" spans="1:9" x14ac:dyDescent="0.35">
      <c r="A523" t="s">
        <v>1319</v>
      </c>
      <c r="B523" t="s">
        <v>4153</v>
      </c>
      <c r="D523" t="b">
        <f>IFERROR(VLOOKUP(B523,PatData!$A$2:$A$2000,1,),"")&lt;&gt;""</f>
        <v>1</v>
      </c>
      <c r="E523">
        <v>1</v>
      </c>
      <c r="F523" t="b">
        <v>0</v>
      </c>
      <c r="G523" t="b">
        <v>1</v>
      </c>
      <c r="H523" t="b">
        <v>1</v>
      </c>
      <c r="I523" t="b">
        <v>0</v>
      </c>
    </row>
    <row r="524" spans="1:9" x14ac:dyDescent="0.35">
      <c r="A524" t="s">
        <v>1322</v>
      </c>
      <c r="B524" t="s">
        <v>4155</v>
      </c>
      <c r="D524" t="b">
        <f>IFERROR(VLOOKUP(B524,PatData!$A$2:$A$2000,1,),"")&lt;&gt;""</f>
        <v>1</v>
      </c>
      <c r="E524">
        <v>2</v>
      </c>
      <c r="F524" t="b">
        <v>0</v>
      </c>
      <c r="G524" t="b">
        <v>1</v>
      </c>
      <c r="H524" t="b">
        <v>1</v>
      </c>
      <c r="I524" t="b">
        <v>0</v>
      </c>
    </row>
    <row r="525" spans="1:9" x14ac:dyDescent="0.35">
      <c r="A525" t="s">
        <v>1325</v>
      </c>
      <c r="B525" t="s">
        <v>4158</v>
      </c>
      <c r="D525" t="b">
        <f>IFERROR(VLOOKUP(B525,PatData!$A$2:$A$2000,1,),"")&lt;&gt;""</f>
        <v>1</v>
      </c>
      <c r="E525">
        <v>0</v>
      </c>
      <c r="F525" t="b">
        <v>0</v>
      </c>
      <c r="G525" t="b">
        <v>1</v>
      </c>
      <c r="H525" t="b">
        <v>1</v>
      </c>
      <c r="I525" t="b">
        <v>0</v>
      </c>
    </row>
    <row r="526" spans="1:9" x14ac:dyDescent="0.35">
      <c r="A526" t="s">
        <v>1326</v>
      </c>
      <c r="B526" t="s">
        <v>4159</v>
      </c>
      <c r="D526" t="b">
        <f>IFERROR(VLOOKUP(B526,PatData!$A$2:$A$2000,1,),"")&lt;&gt;""</f>
        <v>1</v>
      </c>
      <c r="E526">
        <v>0</v>
      </c>
      <c r="F526" t="b">
        <v>0</v>
      </c>
      <c r="G526" t="b">
        <v>1</v>
      </c>
      <c r="H526" t="b">
        <v>1</v>
      </c>
      <c r="I526" t="b">
        <v>0</v>
      </c>
    </row>
    <row r="527" spans="1:9" x14ac:dyDescent="0.35">
      <c r="A527" t="s">
        <v>1810</v>
      </c>
      <c r="B527" t="s">
        <v>4163</v>
      </c>
      <c r="D527" t="b">
        <f>IFERROR(VLOOKUP(B527,PatData!$A$2:$A$2000,1,),"")&lt;&gt;""</f>
        <v>1</v>
      </c>
      <c r="E527">
        <v>2</v>
      </c>
      <c r="F527" t="b">
        <v>0</v>
      </c>
      <c r="G527" t="b">
        <v>1</v>
      </c>
      <c r="H527" t="b">
        <v>1</v>
      </c>
      <c r="I527" t="b">
        <v>0</v>
      </c>
    </row>
    <row r="528" spans="1:9" x14ac:dyDescent="0.35">
      <c r="A528" t="s">
        <v>1813</v>
      </c>
      <c r="B528" t="s">
        <v>4166</v>
      </c>
      <c r="D528" t="b">
        <f>IFERROR(VLOOKUP(B528,PatData!$A$2:$A$2000,1,),"")&lt;&gt;""</f>
        <v>1</v>
      </c>
      <c r="E528">
        <v>0</v>
      </c>
      <c r="F528" t="b">
        <v>0</v>
      </c>
      <c r="G528" t="b">
        <v>1</v>
      </c>
      <c r="H528" t="b">
        <v>1</v>
      </c>
      <c r="I528" t="b">
        <v>0</v>
      </c>
    </row>
    <row r="529" spans="1:9" x14ac:dyDescent="0.35">
      <c r="A529" t="s">
        <v>1814</v>
      </c>
      <c r="B529" t="s">
        <v>4167</v>
      </c>
      <c r="D529" t="b">
        <f>IFERROR(VLOOKUP(B529,PatData!$A$2:$A$2000,1,),"")&lt;&gt;""</f>
        <v>1</v>
      </c>
      <c r="E529">
        <v>0</v>
      </c>
      <c r="F529" t="b">
        <v>0</v>
      </c>
      <c r="G529" t="b">
        <v>1</v>
      </c>
      <c r="H529" t="b">
        <v>1</v>
      </c>
      <c r="I529" t="b">
        <v>0</v>
      </c>
    </row>
    <row r="530" spans="1:9" x14ac:dyDescent="0.35">
      <c r="A530" t="s">
        <v>1816</v>
      </c>
      <c r="B530" t="s">
        <v>4169</v>
      </c>
      <c r="D530" t="b">
        <f>IFERROR(VLOOKUP(B530,PatData!$A$2:$A$2000,1,),"")&lt;&gt;""</f>
        <v>1</v>
      </c>
      <c r="E530">
        <v>5000</v>
      </c>
      <c r="F530" t="b">
        <v>0</v>
      </c>
      <c r="G530" t="b">
        <v>1</v>
      </c>
      <c r="H530" t="b">
        <v>1</v>
      </c>
      <c r="I530" t="b">
        <v>0</v>
      </c>
    </row>
    <row r="531" spans="1:9" x14ac:dyDescent="0.35">
      <c r="A531" t="s">
        <v>1818</v>
      </c>
      <c r="B531" t="s">
        <v>4171</v>
      </c>
      <c r="D531" t="b">
        <f>IFERROR(VLOOKUP(B531,PatData!$A$2:$A$2000,1,),"")&lt;&gt;""</f>
        <v>1</v>
      </c>
      <c r="E531">
        <v>5000</v>
      </c>
      <c r="F531" t="b">
        <v>0</v>
      </c>
      <c r="G531" t="b">
        <v>1</v>
      </c>
      <c r="H531" t="b">
        <v>1</v>
      </c>
      <c r="I531" t="b">
        <v>0</v>
      </c>
    </row>
    <row r="532" spans="1:9" x14ac:dyDescent="0.35">
      <c r="A532" t="s">
        <v>2977</v>
      </c>
      <c r="B532" t="s">
        <v>4286</v>
      </c>
      <c r="D532" t="b">
        <f>IFERROR(VLOOKUP(B532,PatData!$A$2:$A$2000,1,),"")&lt;&gt;""</f>
        <v>1</v>
      </c>
      <c r="E532">
        <v>1</v>
      </c>
      <c r="F532" t="b">
        <v>0</v>
      </c>
      <c r="G532" t="b">
        <v>1</v>
      </c>
      <c r="H532" t="b">
        <v>1</v>
      </c>
      <c r="I532" t="b">
        <v>0</v>
      </c>
    </row>
    <row r="533" spans="1:9" x14ac:dyDescent="0.35">
      <c r="A533" t="s">
        <v>1820</v>
      </c>
      <c r="B533" t="s">
        <v>4173</v>
      </c>
      <c r="D533" t="b">
        <f>IFERROR(VLOOKUP(B533,PatData!$A$2:$A$2000,1,),"")&lt;&gt;""</f>
        <v>1</v>
      </c>
      <c r="E533">
        <v>5000</v>
      </c>
      <c r="F533" t="b">
        <v>0</v>
      </c>
      <c r="G533" t="b">
        <v>1</v>
      </c>
      <c r="H533" t="b">
        <v>1</v>
      </c>
      <c r="I533" t="b">
        <v>0</v>
      </c>
    </row>
    <row r="534" spans="1:9" x14ac:dyDescent="0.35">
      <c r="A534" t="s">
        <v>1830</v>
      </c>
      <c r="B534" t="s">
        <v>4183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1</v>
      </c>
      <c r="I534" t="b">
        <v>0</v>
      </c>
    </row>
    <row r="535" spans="1:9" x14ac:dyDescent="0.35">
      <c r="A535" t="s">
        <v>1831</v>
      </c>
      <c r="B535" t="s">
        <v>4184</v>
      </c>
      <c r="D535" t="b">
        <f>IFERROR(VLOOKUP(B535,PatData!$A$2:$A$2000,1,),"")&lt;&gt;""</f>
        <v>1</v>
      </c>
      <c r="E535">
        <v>1</v>
      </c>
      <c r="F535" t="b">
        <v>0</v>
      </c>
      <c r="G535" t="b">
        <v>1</v>
      </c>
      <c r="H535" t="b">
        <v>1</v>
      </c>
      <c r="I535" t="b">
        <v>0</v>
      </c>
    </row>
    <row r="536" spans="1:9" x14ac:dyDescent="0.35">
      <c r="A536" t="s">
        <v>1832</v>
      </c>
      <c r="B536" t="s">
        <v>4185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1</v>
      </c>
      <c r="I536" t="b">
        <v>0</v>
      </c>
    </row>
    <row r="537" spans="1:9" x14ac:dyDescent="0.35">
      <c r="A537" t="s">
        <v>1833</v>
      </c>
      <c r="B537" t="s">
        <v>4186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1</v>
      </c>
      <c r="I537" t="b">
        <v>0</v>
      </c>
    </row>
    <row r="538" spans="1:9" x14ac:dyDescent="0.35">
      <c r="A538" t="s">
        <v>1834</v>
      </c>
      <c r="B538" t="s">
        <v>4187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1</v>
      </c>
      <c r="I538" t="b">
        <v>0</v>
      </c>
    </row>
    <row r="539" spans="1:9" x14ac:dyDescent="0.35">
      <c r="A539" t="s">
        <v>1835</v>
      </c>
      <c r="B539" t="s">
        <v>4188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1</v>
      </c>
      <c r="I539" t="b">
        <v>0</v>
      </c>
    </row>
    <row r="540" spans="1:9" x14ac:dyDescent="0.35">
      <c r="A540" t="s">
        <v>1836</v>
      </c>
      <c r="B540" t="s">
        <v>4189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1</v>
      </c>
      <c r="I540" t="b">
        <v>0</v>
      </c>
    </row>
    <row r="541" spans="1:9" x14ac:dyDescent="0.35">
      <c r="A541" t="s">
        <v>1837</v>
      </c>
      <c r="B541" t="s">
        <v>4190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1</v>
      </c>
      <c r="I541" t="b">
        <v>0</v>
      </c>
    </row>
    <row r="542" spans="1:9" x14ac:dyDescent="0.35">
      <c r="A542" t="s">
        <v>1838</v>
      </c>
      <c r="B542" t="s">
        <v>4191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1</v>
      </c>
      <c r="I542" t="b">
        <v>0</v>
      </c>
    </row>
    <row r="543" spans="1:9" x14ac:dyDescent="0.35">
      <c r="A543" t="s">
        <v>1848</v>
      </c>
      <c r="B543" t="s">
        <v>4201</v>
      </c>
      <c r="D543" t="b">
        <f>IFERROR(VLOOKUP(B543,PatData!$A$2:$A$2000,1,),"")&lt;&gt;""</f>
        <v>1</v>
      </c>
      <c r="E543">
        <v>0</v>
      </c>
      <c r="F543" t="b">
        <v>0</v>
      </c>
      <c r="G543" t="b">
        <v>1</v>
      </c>
      <c r="H543" t="b">
        <v>1</v>
      </c>
      <c r="I543" t="b">
        <v>0</v>
      </c>
    </row>
    <row r="544" spans="1:9" x14ac:dyDescent="0.35">
      <c r="A544" t="s">
        <v>1849</v>
      </c>
      <c r="B544" t="s">
        <v>4202</v>
      </c>
      <c r="D544" t="b">
        <f>IFERROR(VLOOKUP(B544,PatData!$A$2:$A$2000,1,),"")&lt;&gt;""</f>
        <v>1</v>
      </c>
      <c r="E544">
        <v>0</v>
      </c>
      <c r="F544" t="b">
        <v>0</v>
      </c>
      <c r="G544" t="b">
        <v>1</v>
      </c>
      <c r="H544" t="b">
        <v>1</v>
      </c>
      <c r="I544" t="b">
        <v>0</v>
      </c>
    </row>
    <row r="545" spans="1:9" x14ac:dyDescent="0.35">
      <c r="A545" t="s">
        <v>1850</v>
      </c>
      <c r="B545" t="s">
        <v>4203</v>
      </c>
      <c r="D545" t="b">
        <f>IFERROR(VLOOKUP(B545,PatData!$A$2:$A$2000,1,),"")&lt;&gt;""</f>
        <v>1</v>
      </c>
      <c r="E545">
        <v>0</v>
      </c>
      <c r="F545" t="b">
        <v>0</v>
      </c>
      <c r="G545" t="b">
        <v>1</v>
      </c>
      <c r="H545" t="b">
        <v>1</v>
      </c>
      <c r="I545" t="b">
        <v>0</v>
      </c>
    </row>
    <row r="546" spans="1:9" x14ac:dyDescent="0.35">
      <c r="A546" t="s">
        <v>1851</v>
      </c>
      <c r="B546" t="s">
        <v>4204</v>
      </c>
      <c r="D546" t="b">
        <f>IFERROR(VLOOKUP(B546,PatData!$A$2:$A$2000,1,),"")&lt;&gt;""</f>
        <v>1</v>
      </c>
      <c r="E546">
        <v>0</v>
      </c>
      <c r="F546" t="b">
        <v>0</v>
      </c>
      <c r="G546" t="b">
        <v>1</v>
      </c>
      <c r="H546" t="b">
        <v>1</v>
      </c>
      <c r="I546" t="b">
        <v>0</v>
      </c>
    </row>
    <row r="547" spans="1:9" x14ac:dyDescent="0.35">
      <c r="A547" t="s">
        <v>1852</v>
      </c>
      <c r="B547" t="s">
        <v>4205</v>
      </c>
      <c r="D547" t="b">
        <f>IFERROR(VLOOKUP(B547,PatData!$A$2:$A$2000,1,),"")&lt;&gt;""</f>
        <v>1</v>
      </c>
      <c r="E547">
        <v>0</v>
      </c>
      <c r="F547" t="b">
        <v>0</v>
      </c>
      <c r="G547" t="b">
        <v>1</v>
      </c>
      <c r="H547" t="b">
        <v>1</v>
      </c>
      <c r="I547" t="b">
        <v>0</v>
      </c>
    </row>
    <row r="548" spans="1:9" x14ac:dyDescent="0.35">
      <c r="A548" t="s">
        <v>1853</v>
      </c>
      <c r="B548" t="s">
        <v>4206</v>
      </c>
      <c r="D548" t="b">
        <f>IFERROR(VLOOKUP(B548,PatData!$A$2:$A$2000,1,),"")&lt;&gt;""</f>
        <v>1</v>
      </c>
      <c r="E548">
        <v>0</v>
      </c>
      <c r="F548" t="b">
        <v>0</v>
      </c>
      <c r="G548" t="b">
        <v>1</v>
      </c>
      <c r="H548" t="b">
        <v>1</v>
      </c>
      <c r="I548" t="b">
        <v>0</v>
      </c>
    </row>
    <row r="549" spans="1:9" x14ac:dyDescent="0.35">
      <c r="A549" t="s">
        <v>1854</v>
      </c>
      <c r="B549" t="s">
        <v>4207</v>
      </c>
      <c r="D549" t="b">
        <f>IFERROR(VLOOKUP(B549,PatData!$A$2:$A$2000,1,),"")&lt;&gt;""</f>
        <v>1</v>
      </c>
      <c r="E549">
        <v>0</v>
      </c>
      <c r="F549" t="b">
        <v>0</v>
      </c>
      <c r="G549" t="b">
        <v>1</v>
      </c>
      <c r="H549" t="b">
        <v>1</v>
      </c>
      <c r="I549" t="b">
        <v>0</v>
      </c>
    </row>
    <row r="550" spans="1:9" x14ac:dyDescent="0.35">
      <c r="A550" t="s">
        <v>1855</v>
      </c>
      <c r="B550" t="s">
        <v>4208</v>
      </c>
      <c r="D550" t="b">
        <f>IFERROR(VLOOKUP(B550,PatData!$A$2:$A$2000,1,),"")&lt;&gt;""</f>
        <v>1</v>
      </c>
      <c r="E550">
        <v>0</v>
      </c>
      <c r="F550" t="b">
        <v>0</v>
      </c>
      <c r="G550" t="b">
        <v>1</v>
      </c>
      <c r="H550" t="b">
        <v>1</v>
      </c>
      <c r="I550" t="b">
        <v>0</v>
      </c>
    </row>
    <row r="551" spans="1:9" x14ac:dyDescent="0.35">
      <c r="A551" t="s">
        <v>1856</v>
      </c>
      <c r="B551" t="s">
        <v>4209</v>
      </c>
      <c r="D551" t="b">
        <f>IFERROR(VLOOKUP(B551,PatData!$A$2:$A$2000,1,),"")&lt;&gt;""</f>
        <v>1</v>
      </c>
      <c r="E551">
        <v>0</v>
      </c>
      <c r="F551" t="b">
        <v>0</v>
      </c>
      <c r="G551" t="b">
        <v>1</v>
      </c>
      <c r="H551" t="b">
        <v>1</v>
      </c>
      <c r="I551" t="b">
        <v>0</v>
      </c>
    </row>
    <row r="552" spans="1:9" x14ac:dyDescent="0.35">
      <c r="A552" t="s">
        <v>1859</v>
      </c>
      <c r="B552" t="s">
        <v>4212</v>
      </c>
      <c r="D552" t="b">
        <f>IFERROR(VLOOKUP(B552,PatData!$A$2:$A$2000,1,),"")&lt;&gt;""</f>
        <v>1</v>
      </c>
      <c r="F552" t="b">
        <v>0</v>
      </c>
      <c r="G552" t="b">
        <v>1</v>
      </c>
      <c r="H552" t="b">
        <v>1</v>
      </c>
      <c r="I552" t="b">
        <v>0</v>
      </c>
    </row>
    <row r="553" spans="1:9" x14ac:dyDescent="0.35">
      <c r="A553" t="s">
        <v>1860</v>
      </c>
      <c r="B553" t="s">
        <v>4213</v>
      </c>
      <c r="D553" t="b">
        <f>IFERROR(VLOOKUP(B553,PatData!$A$2:$A$2000,1,),"")&lt;&gt;""</f>
        <v>1</v>
      </c>
      <c r="F553" t="b">
        <v>0</v>
      </c>
      <c r="G553" t="b">
        <v>1</v>
      </c>
      <c r="H553" t="b">
        <v>1</v>
      </c>
      <c r="I553" t="b">
        <v>0</v>
      </c>
    </row>
    <row r="554" spans="1:9" x14ac:dyDescent="0.35">
      <c r="A554" t="s">
        <v>1862</v>
      </c>
      <c r="B554" t="s">
        <v>4215</v>
      </c>
      <c r="D554" t="b">
        <f>IFERROR(VLOOKUP(B554,PatData!$A$2:$A$2000,1,),"")&lt;&gt;""</f>
        <v>1</v>
      </c>
      <c r="E554">
        <v>5000</v>
      </c>
      <c r="F554" t="b">
        <v>0</v>
      </c>
      <c r="G554" t="b">
        <v>1</v>
      </c>
      <c r="H554" t="b">
        <v>1</v>
      </c>
      <c r="I554" t="b">
        <v>0</v>
      </c>
    </row>
    <row r="555" spans="1:9" x14ac:dyDescent="0.35">
      <c r="A555" t="s">
        <v>1864</v>
      </c>
      <c r="B555" t="s">
        <v>4216</v>
      </c>
      <c r="D555" t="b">
        <f>IFERROR(VLOOKUP(B555,PatData!$A$2:$A$2000,1,),"")&lt;&gt;""</f>
        <v>1</v>
      </c>
      <c r="E555">
        <v>5000</v>
      </c>
      <c r="F555" t="b">
        <v>0</v>
      </c>
      <c r="G555" t="b">
        <v>1</v>
      </c>
      <c r="H555" t="b">
        <v>1</v>
      </c>
      <c r="I555" t="b">
        <v>0</v>
      </c>
    </row>
    <row r="556" spans="1:9" x14ac:dyDescent="0.35">
      <c r="A556" t="s">
        <v>1950</v>
      </c>
      <c r="B556" t="s">
        <v>4218</v>
      </c>
      <c r="D556" t="b">
        <f>IFERROR(VLOOKUP(B556,PatData!$A$2:$A$2000,1,),"")&lt;&gt;""</f>
        <v>1</v>
      </c>
      <c r="E556">
        <v>5000</v>
      </c>
      <c r="F556" t="b">
        <v>0</v>
      </c>
      <c r="G556" t="b">
        <v>1</v>
      </c>
      <c r="H556" t="b">
        <v>1</v>
      </c>
      <c r="I556" t="b">
        <v>0</v>
      </c>
    </row>
    <row r="557" spans="1:9" x14ac:dyDescent="0.35">
      <c r="A557" t="s">
        <v>1960</v>
      </c>
      <c r="B557" t="s">
        <v>4228</v>
      </c>
      <c r="D557" t="b">
        <f>IFERROR(VLOOKUP(B557,PatData!$A$2:$A$2000,1,),"")&lt;&gt;""</f>
        <v>1</v>
      </c>
      <c r="E557">
        <v>0</v>
      </c>
      <c r="F557" t="b">
        <v>0</v>
      </c>
      <c r="G557" t="b">
        <v>1</v>
      </c>
      <c r="H557" t="b">
        <v>1</v>
      </c>
      <c r="I557" t="b">
        <v>0</v>
      </c>
    </row>
    <row r="558" spans="1:9" x14ac:dyDescent="0.35">
      <c r="A558" t="s">
        <v>1961</v>
      </c>
      <c r="B558" t="s">
        <v>4229</v>
      </c>
      <c r="D558" t="b">
        <f>IFERROR(VLOOKUP(B558,PatData!$A$2:$A$2000,1,),"")&lt;&gt;""</f>
        <v>1</v>
      </c>
      <c r="E558">
        <v>0</v>
      </c>
      <c r="F558" t="b">
        <v>0</v>
      </c>
      <c r="G558" t="b">
        <v>1</v>
      </c>
      <c r="H558" t="b">
        <v>1</v>
      </c>
      <c r="I558" t="b">
        <v>0</v>
      </c>
    </row>
    <row r="559" spans="1:9" x14ac:dyDescent="0.35">
      <c r="A559" t="s">
        <v>1962</v>
      </c>
      <c r="B559" t="s">
        <v>4230</v>
      </c>
      <c r="D559" t="b">
        <f>IFERROR(VLOOKUP(B559,PatData!$A$2:$A$2000,1,),"")&lt;&gt;""</f>
        <v>1</v>
      </c>
      <c r="E559">
        <v>0</v>
      </c>
      <c r="F559" t="b">
        <v>0</v>
      </c>
      <c r="G559" t="b">
        <v>1</v>
      </c>
      <c r="H559" t="b">
        <v>1</v>
      </c>
      <c r="I559" t="b">
        <v>0</v>
      </c>
    </row>
    <row r="560" spans="1:9" x14ac:dyDescent="0.35">
      <c r="A560" t="s">
        <v>1963</v>
      </c>
      <c r="B560" t="s">
        <v>4231</v>
      </c>
      <c r="D560" t="b">
        <f>IFERROR(VLOOKUP(B560,PatData!$A$2:$A$2000,1,),"")&lt;&gt;""</f>
        <v>1</v>
      </c>
      <c r="E560">
        <v>0</v>
      </c>
      <c r="F560" t="b">
        <v>0</v>
      </c>
      <c r="G560" t="b">
        <v>1</v>
      </c>
      <c r="H560" t="b">
        <v>1</v>
      </c>
      <c r="I560" t="b">
        <v>0</v>
      </c>
    </row>
    <row r="561" spans="1:9" x14ac:dyDescent="0.35">
      <c r="A561" t="s">
        <v>1964</v>
      </c>
      <c r="B561" t="s">
        <v>4232</v>
      </c>
      <c r="D561" t="b">
        <f>IFERROR(VLOOKUP(B561,PatData!$A$2:$A$2000,1,),"")&lt;&gt;""</f>
        <v>1</v>
      </c>
      <c r="E561">
        <v>0</v>
      </c>
      <c r="F561" t="b">
        <v>0</v>
      </c>
      <c r="G561" t="b">
        <v>1</v>
      </c>
      <c r="H561" t="b">
        <v>1</v>
      </c>
      <c r="I561" t="b">
        <v>0</v>
      </c>
    </row>
    <row r="562" spans="1:9" x14ac:dyDescent="0.35">
      <c r="A562" t="s">
        <v>1965</v>
      </c>
      <c r="B562" t="s">
        <v>4233</v>
      </c>
      <c r="D562" t="b">
        <f>IFERROR(VLOOKUP(B562,PatData!$A$2:$A$2000,1,),"")&lt;&gt;""</f>
        <v>1</v>
      </c>
      <c r="E562">
        <v>0</v>
      </c>
      <c r="F562" t="b">
        <v>0</v>
      </c>
      <c r="G562" t="b">
        <v>1</v>
      </c>
      <c r="H562" t="b">
        <v>1</v>
      </c>
      <c r="I562" t="b">
        <v>0</v>
      </c>
    </row>
    <row r="563" spans="1:9" x14ac:dyDescent="0.35">
      <c r="A563" t="s">
        <v>1966</v>
      </c>
      <c r="B563" t="s">
        <v>4234</v>
      </c>
      <c r="D563" t="b">
        <f>IFERROR(VLOOKUP(B563,PatData!$A$2:$A$2000,1,),"")&lt;&gt;""</f>
        <v>1</v>
      </c>
      <c r="E563">
        <v>0</v>
      </c>
      <c r="F563" t="b">
        <v>0</v>
      </c>
      <c r="G563" t="b">
        <v>1</v>
      </c>
      <c r="H563" t="b">
        <v>1</v>
      </c>
      <c r="I563" t="b">
        <v>0</v>
      </c>
    </row>
    <row r="564" spans="1:9" x14ac:dyDescent="0.35">
      <c r="A564" t="s">
        <v>1967</v>
      </c>
      <c r="B564" t="s">
        <v>4235</v>
      </c>
      <c r="D564" t="b">
        <f>IFERROR(VLOOKUP(B564,PatData!$A$2:$A$2000,1,),"")&lt;&gt;""</f>
        <v>1</v>
      </c>
      <c r="E564">
        <v>0</v>
      </c>
      <c r="F564" t="b">
        <v>0</v>
      </c>
      <c r="G564" t="b">
        <v>1</v>
      </c>
      <c r="H564" t="b">
        <v>1</v>
      </c>
      <c r="I564" t="b">
        <v>0</v>
      </c>
    </row>
    <row r="565" spans="1:9" x14ac:dyDescent="0.35">
      <c r="A565" t="s">
        <v>1968</v>
      </c>
      <c r="B565" t="s">
        <v>4236</v>
      </c>
      <c r="D565" t="b">
        <f>IFERROR(VLOOKUP(B565,PatData!$A$2:$A$2000,1,),"")&lt;&gt;""</f>
        <v>1</v>
      </c>
      <c r="E565">
        <v>0</v>
      </c>
      <c r="F565" t="b">
        <v>0</v>
      </c>
      <c r="G565" t="b">
        <v>1</v>
      </c>
      <c r="H565" t="b">
        <v>1</v>
      </c>
      <c r="I565" t="b">
        <v>0</v>
      </c>
    </row>
    <row r="566" spans="1:9" x14ac:dyDescent="0.35">
      <c r="A566" t="s">
        <v>1981</v>
      </c>
      <c r="B566" t="s">
        <v>4252</v>
      </c>
      <c r="D566" t="b">
        <f>IFERROR(VLOOKUP(B566,PatData!$A$2:$A$2000,1,),"")&lt;&gt;""</f>
        <v>1</v>
      </c>
      <c r="E566">
        <v>1</v>
      </c>
      <c r="F566" t="b">
        <v>0</v>
      </c>
      <c r="G566" t="b">
        <v>1</v>
      </c>
      <c r="H566" t="b">
        <v>1</v>
      </c>
      <c r="I566" t="b">
        <v>0</v>
      </c>
    </row>
    <row r="567" spans="1:9" x14ac:dyDescent="0.35">
      <c r="A567" t="s">
        <v>1985</v>
      </c>
      <c r="B567" t="s">
        <v>4253</v>
      </c>
      <c r="D567" t="b">
        <f>IFERROR(VLOOKUP(B567,PatData!$A$2:$A$2000,1,),"")&lt;&gt;""</f>
        <v>1</v>
      </c>
      <c r="E567">
        <v>1</v>
      </c>
      <c r="F567" t="b">
        <v>0</v>
      </c>
      <c r="G567" t="b">
        <v>1</v>
      </c>
      <c r="H567" t="b">
        <v>1</v>
      </c>
      <c r="I567" t="b">
        <v>0</v>
      </c>
    </row>
    <row r="568" spans="1:9" x14ac:dyDescent="0.35">
      <c r="A568" t="s">
        <v>1986</v>
      </c>
      <c r="B568" t="s">
        <v>4254</v>
      </c>
      <c r="D568" t="b">
        <f>IFERROR(VLOOKUP(B568,PatData!$A$2:$A$2000,1,),"")&lt;&gt;""</f>
        <v>1</v>
      </c>
      <c r="E568">
        <v>1</v>
      </c>
      <c r="F568" t="b">
        <v>0</v>
      </c>
      <c r="G568" t="b">
        <v>1</v>
      </c>
      <c r="H568" t="b">
        <v>1</v>
      </c>
      <c r="I568" t="b">
        <v>0</v>
      </c>
    </row>
    <row r="569" spans="1:9" x14ac:dyDescent="0.35">
      <c r="A569" t="s">
        <v>1987</v>
      </c>
      <c r="B569" t="s">
        <v>4255</v>
      </c>
      <c r="D569" t="b">
        <f>IFERROR(VLOOKUP(B569,PatData!$A$2:$A$2000,1,),"")&lt;&gt;""</f>
        <v>1</v>
      </c>
      <c r="E569">
        <v>1</v>
      </c>
      <c r="F569" t="b">
        <v>0</v>
      </c>
      <c r="G569" t="b">
        <v>1</v>
      </c>
      <c r="H569" t="b">
        <v>1</v>
      </c>
      <c r="I569" t="b">
        <v>0</v>
      </c>
    </row>
    <row r="570" spans="1:9" x14ac:dyDescent="0.35">
      <c r="A570" t="s">
        <v>1988</v>
      </c>
      <c r="B570" t="s">
        <v>4256</v>
      </c>
      <c r="D570" t="b">
        <f>IFERROR(VLOOKUP(B570,PatData!$A$2:$A$2000,1,),"")&lt;&gt;""</f>
        <v>1</v>
      </c>
      <c r="E570">
        <v>1</v>
      </c>
      <c r="F570" t="b">
        <v>0</v>
      </c>
      <c r="G570" t="b">
        <v>1</v>
      </c>
      <c r="H570" t="b">
        <v>1</v>
      </c>
      <c r="I570" t="b">
        <v>0</v>
      </c>
    </row>
    <row r="571" spans="1:9" x14ac:dyDescent="0.35">
      <c r="A571" t="s">
        <v>1989</v>
      </c>
      <c r="B571" t="s">
        <v>4257</v>
      </c>
      <c r="D571" t="b">
        <f>IFERROR(VLOOKUP(B571,PatData!$A$2:$A$2000,1,),"")&lt;&gt;""</f>
        <v>1</v>
      </c>
      <c r="E571">
        <v>1</v>
      </c>
      <c r="F571" t="b">
        <v>0</v>
      </c>
      <c r="G571" t="b">
        <v>1</v>
      </c>
      <c r="H571" t="b">
        <v>1</v>
      </c>
      <c r="I571" t="b">
        <v>0</v>
      </c>
    </row>
    <row r="572" spans="1:9" x14ac:dyDescent="0.35">
      <c r="A572" t="s">
        <v>1990</v>
      </c>
      <c r="B572" t="s">
        <v>4258</v>
      </c>
      <c r="D572" t="b">
        <f>IFERROR(VLOOKUP(B572,PatData!$A$2:$A$2000,1,),"")&lt;&gt;""</f>
        <v>1</v>
      </c>
      <c r="E572">
        <v>1</v>
      </c>
      <c r="F572" t="b">
        <v>0</v>
      </c>
      <c r="G572" t="b">
        <v>1</v>
      </c>
      <c r="H572" t="b">
        <v>1</v>
      </c>
      <c r="I572" t="b">
        <v>0</v>
      </c>
    </row>
    <row r="573" spans="1:9" x14ac:dyDescent="0.35">
      <c r="A573" t="s">
        <v>1991</v>
      </c>
      <c r="B573" t="s">
        <v>4259</v>
      </c>
      <c r="D573" t="b">
        <f>IFERROR(VLOOKUP(B573,PatData!$A$2:$A$2000,1,),"")&lt;&gt;""</f>
        <v>1</v>
      </c>
      <c r="E573">
        <v>1</v>
      </c>
      <c r="F573" t="b">
        <v>0</v>
      </c>
      <c r="G573" t="b">
        <v>1</v>
      </c>
      <c r="H573" t="b">
        <v>1</v>
      </c>
      <c r="I573" t="b">
        <v>0</v>
      </c>
    </row>
    <row r="574" spans="1:9" x14ac:dyDescent="0.35">
      <c r="A574" t="s">
        <v>1992</v>
      </c>
      <c r="B574" t="s">
        <v>4260</v>
      </c>
      <c r="D574" t="b">
        <f>IFERROR(VLOOKUP(B574,PatData!$A$2:$A$2000,1,),"")&lt;&gt;""</f>
        <v>1</v>
      </c>
      <c r="E574">
        <v>1</v>
      </c>
      <c r="F574" t="b">
        <v>0</v>
      </c>
      <c r="G574" t="b">
        <v>1</v>
      </c>
      <c r="H574" t="b">
        <v>1</v>
      </c>
      <c r="I574" t="b">
        <v>0</v>
      </c>
    </row>
    <row r="575" spans="1:9" x14ac:dyDescent="0.35">
      <c r="A575" t="s">
        <v>1982</v>
      </c>
      <c r="B575" t="s">
        <v>4249</v>
      </c>
      <c r="D575" t="b">
        <f>IFERROR(VLOOKUP(B575,PatData!$A$2:$A$2000,1,),"")&lt;&gt;""</f>
        <v>1</v>
      </c>
      <c r="E575">
        <v>1</v>
      </c>
      <c r="F575" t="b">
        <v>0</v>
      </c>
      <c r="G575" t="b">
        <v>1</v>
      </c>
      <c r="H575" t="b">
        <v>1</v>
      </c>
      <c r="I575" t="b">
        <v>0</v>
      </c>
    </row>
    <row r="576" spans="1:9" x14ac:dyDescent="0.35">
      <c r="A576" t="s">
        <v>1983</v>
      </c>
      <c r="B576" t="s">
        <v>4250</v>
      </c>
      <c r="D576" t="b">
        <f>IFERROR(VLOOKUP(B576,PatData!$A$2:$A$2000,1,),"")&lt;&gt;""</f>
        <v>1</v>
      </c>
      <c r="E576">
        <v>1</v>
      </c>
      <c r="F576" t="b">
        <v>0</v>
      </c>
      <c r="G576" t="b">
        <v>1</v>
      </c>
      <c r="H576" t="b">
        <v>1</v>
      </c>
      <c r="I576" t="b">
        <v>0</v>
      </c>
    </row>
    <row r="577" spans="1:9" x14ac:dyDescent="0.35">
      <c r="A577" t="s">
        <v>1984</v>
      </c>
      <c r="B577" t="s">
        <v>4251</v>
      </c>
      <c r="D577" t="b">
        <f>IFERROR(VLOOKUP(B577,PatData!$A$2:$A$2000,1,),"")&lt;&gt;""</f>
        <v>1</v>
      </c>
      <c r="E577">
        <v>1</v>
      </c>
      <c r="F577" t="b">
        <v>0</v>
      </c>
      <c r="G577" t="b">
        <v>1</v>
      </c>
      <c r="H577" t="b">
        <v>1</v>
      </c>
      <c r="I577" t="b">
        <v>0</v>
      </c>
    </row>
    <row r="578" spans="1:9" x14ac:dyDescent="0.35">
      <c r="A578" t="s">
        <v>1994</v>
      </c>
      <c r="B578" t="s">
        <v>4262</v>
      </c>
      <c r="D578" t="b">
        <f>IFERROR(VLOOKUP(B578,PatData!$A$2:$A$2000,1,),"")&lt;&gt;""</f>
        <v>1</v>
      </c>
      <c r="E578" t="b">
        <v>0</v>
      </c>
      <c r="F578" t="b">
        <v>0</v>
      </c>
      <c r="G578" t="b">
        <v>1</v>
      </c>
      <c r="H578" t="b">
        <v>1</v>
      </c>
      <c r="I578" t="b">
        <v>0</v>
      </c>
    </row>
    <row r="579" spans="1:9" x14ac:dyDescent="0.35">
      <c r="A579" t="s">
        <v>3077</v>
      </c>
      <c r="B579" t="s">
        <v>4274</v>
      </c>
      <c r="D579" t="b">
        <f>IFERROR(VLOOKUP(B579,PatData!$A$2:$A$2000,1,),"")&lt;&gt;""</f>
        <v>1</v>
      </c>
      <c r="E579">
        <v>1</v>
      </c>
      <c r="F579" t="b">
        <v>0</v>
      </c>
      <c r="G579" t="b">
        <v>1</v>
      </c>
      <c r="H579" t="b">
        <v>1</v>
      </c>
      <c r="I579" t="b">
        <v>0</v>
      </c>
    </row>
    <row r="580" spans="1:9" x14ac:dyDescent="0.35">
      <c r="A580" t="s">
        <v>3078</v>
      </c>
      <c r="B580" t="s">
        <v>4275</v>
      </c>
      <c r="D580" t="b">
        <f>IFERROR(VLOOKUP(B580,PatData!$A$2:$A$2000,1,),"")&lt;&gt;""</f>
        <v>1</v>
      </c>
      <c r="E580">
        <v>1</v>
      </c>
      <c r="F580" t="b">
        <v>0</v>
      </c>
      <c r="G580" t="b">
        <v>1</v>
      </c>
      <c r="H580" t="b">
        <v>1</v>
      </c>
      <c r="I580" t="b">
        <v>0</v>
      </c>
    </row>
    <row r="581" spans="1:9" x14ac:dyDescent="0.35">
      <c r="A581" t="s">
        <v>3079</v>
      </c>
      <c r="B581" t="s">
        <v>4276</v>
      </c>
      <c r="D581" t="b">
        <f>IFERROR(VLOOKUP(B581,PatData!$A$2:$A$2000,1,),"")&lt;&gt;""</f>
        <v>1</v>
      </c>
      <c r="E581">
        <v>1</v>
      </c>
      <c r="F581" t="b">
        <v>0</v>
      </c>
      <c r="G581" t="b">
        <v>1</v>
      </c>
      <c r="H581" t="b">
        <v>1</v>
      </c>
      <c r="I581" t="b">
        <v>0</v>
      </c>
    </row>
    <row r="582" spans="1:9" x14ac:dyDescent="0.35">
      <c r="A582" t="s">
        <v>3080</v>
      </c>
      <c r="B582" t="s">
        <v>4277</v>
      </c>
      <c r="D582" t="b">
        <f>IFERROR(VLOOKUP(B582,PatData!$A$2:$A$2000,1,),"")&lt;&gt;""</f>
        <v>1</v>
      </c>
      <c r="E582">
        <v>1</v>
      </c>
      <c r="F582" t="b">
        <v>0</v>
      </c>
      <c r="G582" t="b">
        <v>1</v>
      </c>
      <c r="H582" t="b">
        <v>1</v>
      </c>
      <c r="I582" t="b">
        <v>0</v>
      </c>
    </row>
    <row r="583" spans="1:9" x14ac:dyDescent="0.35">
      <c r="A583" t="s">
        <v>3081</v>
      </c>
      <c r="B583" t="s">
        <v>4278</v>
      </c>
      <c r="D583" t="b">
        <f>IFERROR(VLOOKUP(B583,PatData!$A$2:$A$2000,1,),"")&lt;&gt;""</f>
        <v>1</v>
      </c>
      <c r="E583">
        <v>1</v>
      </c>
      <c r="F583" t="b">
        <v>0</v>
      </c>
      <c r="G583" t="b">
        <v>1</v>
      </c>
      <c r="H583" t="b">
        <v>1</v>
      </c>
      <c r="I583" t="b">
        <v>0</v>
      </c>
    </row>
    <row r="584" spans="1:9" x14ac:dyDescent="0.35">
      <c r="A584" t="s">
        <v>3082</v>
      </c>
      <c r="B584" t="s">
        <v>4279</v>
      </c>
      <c r="D584" t="b">
        <f>IFERROR(VLOOKUP(B584,PatData!$A$2:$A$2000,1,),"")&lt;&gt;""</f>
        <v>1</v>
      </c>
      <c r="E584">
        <v>1</v>
      </c>
      <c r="F584" t="b">
        <v>0</v>
      </c>
      <c r="G584" t="b">
        <v>1</v>
      </c>
      <c r="H584" t="b">
        <v>1</v>
      </c>
      <c r="I584" t="b">
        <v>0</v>
      </c>
    </row>
    <row r="585" spans="1:9" x14ac:dyDescent="0.35">
      <c r="A585" t="s">
        <v>3083</v>
      </c>
      <c r="B585" t="s">
        <v>4280</v>
      </c>
      <c r="D585" t="b">
        <f>IFERROR(VLOOKUP(B585,PatData!$A$2:$A$2000,1,),"")&lt;&gt;""</f>
        <v>1</v>
      </c>
      <c r="E585">
        <v>1</v>
      </c>
      <c r="F585" t="b">
        <v>0</v>
      </c>
      <c r="G585" t="b">
        <v>1</v>
      </c>
      <c r="H585" t="b">
        <v>1</v>
      </c>
      <c r="I585" t="b">
        <v>0</v>
      </c>
    </row>
    <row r="586" spans="1:9" x14ac:dyDescent="0.35">
      <c r="A586" t="s">
        <v>3084</v>
      </c>
      <c r="B586" t="s">
        <v>4281</v>
      </c>
      <c r="D586" t="b">
        <f>IFERROR(VLOOKUP(B586,PatData!$A$2:$A$2000,1,),"")&lt;&gt;""</f>
        <v>1</v>
      </c>
      <c r="E586">
        <v>1</v>
      </c>
      <c r="F586" t="b">
        <v>0</v>
      </c>
      <c r="G586" t="b">
        <v>1</v>
      </c>
      <c r="H586" t="b">
        <v>1</v>
      </c>
      <c r="I586" t="b">
        <v>0</v>
      </c>
    </row>
    <row r="587" spans="1:9" x14ac:dyDescent="0.35">
      <c r="A587" t="s">
        <v>3085</v>
      </c>
      <c r="B587" t="s">
        <v>4282</v>
      </c>
      <c r="D587" t="b">
        <f>IFERROR(VLOOKUP(B587,PatData!$A$2:$A$2000,1,),"")&lt;&gt;""</f>
        <v>1</v>
      </c>
      <c r="E587">
        <v>1</v>
      </c>
      <c r="F587" t="b">
        <v>0</v>
      </c>
      <c r="G587" t="b">
        <v>1</v>
      </c>
      <c r="H587" t="b">
        <v>1</v>
      </c>
      <c r="I587" t="b">
        <v>0</v>
      </c>
    </row>
    <row r="588" spans="1:9" x14ac:dyDescent="0.35">
      <c r="A588" t="s">
        <v>2285</v>
      </c>
      <c r="B588" t="s">
        <v>4284</v>
      </c>
      <c r="D588" t="b">
        <f>IFERROR(VLOOKUP(B588,PatData!$A$2:$A$2000,1,),"")&lt;&gt;""</f>
        <v>1</v>
      </c>
      <c r="E588">
        <v>5000</v>
      </c>
      <c r="F588" t="b">
        <v>0</v>
      </c>
      <c r="G588" t="b">
        <v>1</v>
      </c>
      <c r="H588" t="b">
        <v>1</v>
      </c>
      <c r="I588" t="b">
        <v>0</v>
      </c>
    </row>
    <row r="589" spans="1:9" x14ac:dyDescent="0.35">
      <c r="A589" t="s">
        <v>2287</v>
      </c>
      <c r="B589" t="s">
        <v>4288</v>
      </c>
      <c r="D589" t="b">
        <f>IFERROR(VLOOKUP(B589,PatData!$A$2:$A$2000,1,),"")&lt;&gt;""</f>
        <v>1</v>
      </c>
      <c r="E589">
        <v>5000</v>
      </c>
      <c r="F589" t="b">
        <v>0</v>
      </c>
      <c r="G589" t="b">
        <v>1</v>
      </c>
      <c r="H589" t="b">
        <v>1</v>
      </c>
      <c r="I589" t="b">
        <v>0</v>
      </c>
    </row>
    <row r="590" spans="1:9" x14ac:dyDescent="0.35">
      <c r="A590" t="s">
        <v>2289</v>
      </c>
      <c r="B590" t="s">
        <v>4290</v>
      </c>
      <c r="D590" t="b">
        <f>IFERROR(VLOOKUP(B590,PatData!$A$2:$A$2000,1,),"")&lt;&gt;""</f>
        <v>1</v>
      </c>
      <c r="E590">
        <v>5000</v>
      </c>
      <c r="F590" t="b">
        <v>0</v>
      </c>
      <c r="G590" t="b">
        <v>1</v>
      </c>
      <c r="H590" t="b">
        <v>1</v>
      </c>
      <c r="I590" t="b">
        <v>0</v>
      </c>
    </row>
    <row r="591" spans="1:9" x14ac:dyDescent="0.35">
      <c r="A591" t="s">
        <v>2302</v>
      </c>
      <c r="B591" t="s">
        <v>4306</v>
      </c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1</v>
      </c>
      <c r="I591" t="b">
        <v>0</v>
      </c>
    </row>
    <row r="592" spans="1:9" x14ac:dyDescent="0.35">
      <c r="A592" t="s">
        <v>2306</v>
      </c>
      <c r="B592" t="s">
        <v>4307</v>
      </c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x14ac:dyDescent="0.35">
      <c r="A593" t="s">
        <v>2307</v>
      </c>
      <c r="B593" t="s">
        <v>4308</v>
      </c>
      <c r="D593" t="b">
        <f>IFERROR(VLOOKUP(B593,PatData!$A$2:$A$2000,1,),"")&lt;&gt;""</f>
        <v>1</v>
      </c>
      <c r="E593">
        <v>0</v>
      </c>
      <c r="F593" t="b">
        <v>0</v>
      </c>
      <c r="G593" t="b">
        <v>1</v>
      </c>
      <c r="H593" t="b">
        <v>1</v>
      </c>
      <c r="I593" t="b">
        <v>0</v>
      </c>
    </row>
    <row r="594" spans="1:9" x14ac:dyDescent="0.35">
      <c r="A594" t="s">
        <v>2308</v>
      </c>
      <c r="B594" t="s">
        <v>4309</v>
      </c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1</v>
      </c>
      <c r="I594" t="b">
        <v>0</v>
      </c>
    </row>
    <row r="595" spans="1:9" x14ac:dyDescent="0.35">
      <c r="A595" t="s">
        <v>2309</v>
      </c>
      <c r="B595" t="s">
        <v>4310</v>
      </c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1</v>
      </c>
      <c r="I595" t="b">
        <v>0</v>
      </c>
    </row>
    <row r="596" spans="1:9" x14ac:dyDescent="0.35">
      <c r="A596" t="s">
        <v>2310</v>
      </c>
      <c r="B596" t="s">
        <v>4311</v>
      </c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1</v>
      </c>
      <c r="I596" t="b">
        <v>0</v>
      </c>
    </row>
    <row r="597" spans="1:9" x14ac:dyDescent="0.35">
      <c r="A597" t="s">
        <v>2311</v>
      </c>
      <c r="B597" t="s">
        <v>4312</v>
      </c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1</v>
      </c>
      <c r="I597" t="b">
        <v>0</v>
      </c>
    </row>
    <row r="598" spans="1:9" x14ac:dyDescent="0.35">
      <c r="A598" t="s">
        <v>2312</v>
      </c>
      <c r="B598" t="s">
        <v>4313</v>
      </c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1</v>
      </c>
      <c r="I598" t="b">
        <v>0</v>
      </c>
    </row>
    <row r="599" spans="1:9" x14ac:dyDescent="0.35">
      <c r="A599" t="s">
        <v>2313</v>
      </c>
      <c r="B599" t="s">
        <v>4314</v>
      </c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1</v>
      </c>
      <c r="I599" t="b">
        <v>0</v>
      </c>
    </row>
    <row r="600" spans="1:9" x14ac:dyDescent="0.35">
      <c r="A600" t="s">
        <v>2303</v>
      </c>
      <c r="B600" t="s">
        <v>4303</v>
      </c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1</v>
      </c>
      <c r="I600" t="b">
        <v>0</v>
      </c>
    </row>
    <row r="601" spans="1:9" x14ac:dyDescent="0.35">
      <c r="A601" t="s">
        <v>2304</v>
      </c>
      <c r="B601" t="s">
        <v>4304</v>
      </c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1</v>
      </c>
      <c r="I601" t="b">
        <v>0</v>
      </c>
    </row>
    <row r="602" spans="1:9" x14ac:dyDescent="0.35">
      <c r="A602" t="s">
        <v>2305</v>
      </c>
      <c r="B602" t="s">
        <v>4305</v>
      </c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1</v>
      </c>
      <c r="I602" t="b">
        <v>0</v>
      </c>
    </row>
    <row r="603" spans="1:9" x14ac:dyDescent="0.35">
      <c r="A603" t="s">
        <v>2315</v>
      </c>
      <c r="B603" t="s">
        <v>4325</v>
      </c>
      <c r="D603" t="b">
        <f>IFERROR(VLOOKUP(B603,PatData!$A$2:$A$2000,1,),"")&lt;&gt;""</f>
        <v>1</v>
      </c>
      <c r="F603" t="b">
        <v>0</v>
      </c>
      <c r="G603" t="b">
        <v>1</v>
      </c>
      <c r="H603" t="b">
        <v>1</v>
      </c>
      <c r="I603" t="b">
        <v>0</v>
      </c>
    </row>
    <row r="604" spans="1:9" x14ac:dyDescent="0.35">
      <c r="A604" t="s">
        <v>2325</v>
      </c>
      <c r="B604" t="s">
        <v>4335</v>
      </c>
      <c r="D604" t="b">
        <f>IFERROR(VLOOKUP(B604,PatData!$A$2:$A$2000,1,),"")&lt;&gt;""</f>
        <v>1</v>
      </c>
      <c r="E604">
        <v>2</v>
      </c>
      <c r="F604" t="b">
        <v>0</v>
      </c>
      <c r="G604" t="b">
        <v>1</v>
      </c>
      <c r="H604" t="b">
        <v>1</v>
      </c>
      <c r="I604" t="b">
        <v>0</v>
      </c>
    </row>
    <row r="605" spans="1:9" x14ac:dyDescent="0.35">
      <c r="A605" t="s">
        <v>2326</v>
      </c>
      <c r="B605" t="s">
        <v>4336</v>
      </c>
      <c r="D605" t="b">
        <f>IFERROR(VLOOKUP(B605,PatData!$A$2:$A$2000,1,),"")&lt;&gt;""</f>
        <v>1</v>
      </c>
      <c r="E605">
        <v>1</v>
      </c>
      <c r="F605" t="b">
        <v>0</v>
      </c>
      <c r="G605" t="b">
        <v>1</v>
      </c>
      <c r="H605" t="b">
        <v>1</v>
      </c>
      <c r="I605" t="b">
        <v>0</v>
      </c>
    </row>
    <row r="606" spans="1:9" x14ac:dyDescent="0.35">
      <c r="A606" t="s">
        <v>2327</v>
      </c>
      <c r="B606" t="s">
        <v>4337</v>
      </c>
      <c r="D606" t="b">
        <f>IFERROR(VLOOKUP(B606,PatData!$A$2:$A$2000,1,),"")&lt;&gt;""</f>
        <v>1</v>
      </c>
      <c r="E606">
        <v>1</v>
      </c>
      <c r="F606" t="b">
        <v>0</v>
      </c>
      <c r="G606" t="b">
        <v>1</v>
      </c>
      <c r="H606" t="b">
        <v>1</v>
      </c>
      <c r="I606" t="b">
        <v>0</v>
      </c>
    </row>
    <row r="607" spans="1:9" x14ac:dyDescent="0.35">
      <c r="A607" t="s">
        <v>2328</v>
      </c>
      <c r="B607" t="s">
        <v>4338</v>
      </c>
      <c r="D607" t="b">
        <f>IFERROR(VLOOKUP(B607,PatData!$A$2:$A$2000,1,),"")&lt;&gt;""</f>
        <v>1</v>
      </c>
      <c r="E607">
        <v>1</v>
      </c>
      <c r="F607" t="b">
        <v>0</v>
      </c>
      <c r="G607" t="b">
        <v>1</v>
      </c>
      <c r="H607" t="b">
        <v>1</v>
      </c>
      <c r="I607" t="b">
        <v>0</v>
      </c>
    </row>
    <row r="608" spans="1:9" x14ac:dyDescent="0.35">
      <c r="A608" t="s">
        <v>2329</v>
      </c>
      <c r="B608" t="s">
        <v>4339</v>
      </c>
      <c r="D608" t="b">
        <f>IFERROR(VLOOKUP(B608,PatData!$A$2:$A$2000,1,),"")&lt;&gt;""</f>
        <v>1</v>
      </c>
      <c r="E608">
        <v>1</v>
      </c>
      <c r="F608" t="b">
        <v>0</v>
      </c>
      <c r="G608" t="b">
        <v>1</v>
      </c>
      <c r="H608" t="b">
        <v>1</v>
      </c>
      <c r="I608" t="b">
        <v>0</v>
      </c>
    </row>
    <row r="609" spans="1:9" x14ac:dyDescent="0.35">
      <c r="A609" t="s">
        <v>2330</v>
      </c>
      <c r="B609" t="s">
        <v>4340</v>
      </c>
      <c r="D609" t="b">
        <f>IFERROR(VLOOKUP(B609,PatData!$A$2:$A$2000,1,),"")&lt;&gt;""</f>
        <v>1</v>
      </c>
      <c r="E609">
        <v>1</v>
      </c>
      <c r="F609" t="b">
        <v>0</v>
      </c>
      <c r="G609" t="b">
        <v>1</v>
      </c>
      <c r="H609" t="b">
        <v>1</v>
      </c>
      <c r="I609" t="b">
        <v>0</v>
      </c>
    </row>
    <row r="610" spans="1:9" x14ac:dyDescent="0.35">
      <c r="A610" t="s">
        <v>2331</v>
      </c>
      <c r="B610" t="s">
        <v>4341</v>
      </c>
      <c r="D610" t="b">
        <f>IFERROR(VLOOKUP(B610,PatData!$A$2:$A$2000,1,),"")&lt;&gt;""</f>
        <v>1</v>
      </c>
      <c r="E610">
        <v>1</v>
      </c>
      <c r="F610" t="b">
        <v>0</v>
      </c>
      <c r="G610" t="b">
        <v>1</v>
      </c>
      <c r="H610" t="b">
        <v>1</v>
      </c>
      <c r="I610" t="b">
        <v>0</v>
      </c>
    </row>
    <row r="611" spans="1:9" x14ac:dyDescent="0.35">
      <c r="A611" t="s">
        <v>2332</v>
      </c>
      <c r="B611" t="s">
        <v>4342</v>
      </c>
      <c r="D611" t="b">
        <f>IFERROR(VLOOKUP(B611,PatData!$A$2:$A$2000,1,),"")&lt;&gt;""</f>
        <v>1</v>
      </c>
      <c r="E611">
        <v>1</v>
      </c>
      <c r="F611" t="b">
        <v>0</v>
      </c>
      <c r="G611" t="b">
        <v>1</v>
      </c>
      <c r="H611" t="b">
        <v>1</v>
      </c>
      <c r="I611" t="b">
        <v>0</v>
      </c>
    </row>
    <row r="612" spans="1:9" x14ac:dyDescent="0.35">
      <c r="A612" t="s">
        <v>2333</v>
      </c>
      <c r="B612" t="s">
        <v>4343</v>
      </c>
      <c r="D612" t="b">
        <f>IFERROR(VLOOKUP(B612,PatData!$A$2:$A$2000,1,),"")&lt;&gt;""</f>
        <v>1</v>
      </c>
      <c r="E612"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x14ac:dyDescent="0.35">
      <c r="A613" t="s">
        <v>3063</v>
      </c>
      <c r="B613" t="s">
        <v>4130</v>
      </c>
      <c r="D613" t="b">
        <f>IFERROR(VLOOKUP(B613,PatData!$A$2:$A$2000,1,),"")&lt;&gt;""</f>
        <v>1</v>
      </c>
      <c r="E613"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x14ac:dyDescent="0.35">
      <c r="A614" t="s">
        <v>3064</v>
      </c>
      <c r="B614" t="s">
        <v>4131</v>
      </c>
      <c r="D614" t="b">
        <f>IFERROR(VLOOKUP(B614,PatData!$A$2:$A$2000,1,),"")&lt;&gt;""</f>
        <v>1</v>
      </c>
      <c r="E614">
        <v>0</v>
      </c>
      <c r="F614" t="b">
        <v>0</v>
      </c>
      <c r="G614" t="b">
        <v>1</v>
      </c>
      <c r="H614" t="b">
        <v>1</v>
      </c>
      <c r="I614" t="b">
        <v>0</v>
      </c>
    </row>
    <row r="615" spans="1:9" x14ac:dyDescent="0.35">
      <c r="A615" t="s">
        <v>3069</v>
      </c>
      <c r="B615" t="s">
        <v>4136</v>
      </c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1</v>
      </c>
      <c r="I615" t="b">
        <v>0</v>
      </c>
    </row>
    <row r="616" spans="1:9" x14ac:dyDescent="0.35">
      <c r="A616" t="s">
        <v>3070</v>
      </c>
      <c r="B616" t="s">
        <v>4137</v>
      </c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1</v>
      </c>
      <c r="I616" t="b">
        <v>0</v>
      </c>
    </row>
    <row r="617" spans="1:9" x14ac:dyDescent="0.35">
      <c r="A617" t="s">
        <v>3071</v>
      </c>
      <c r="B617" t="s">
        <v>4138</v>
      </c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x14ac:dyDescent="0.35">
      <c r="A618" t="s">
        <v>3072</v>
      </c>
      <c r="B618" t="s">
        <v>4139</v>
      </c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x14ac:dyDescent="0.35">
      <c r="A619" t="s">
        <v>3073</v>
      </c>
      <c r="B619" t="s">
        <v>4140</v>
      </c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x14ac:dyDescent="0.35">
      <c r="A620" t="s">
        <v>3074</v>
      </c>
      <c r="B620" t="s">
        <v>4141</v>
      </c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x14ac:dyDescent="0.35">
      <c r="A621" t="s">
        <v>3075</v>
      </c>
      <c r="B621" t="s">
        <v>4142</v>
      </c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x14ac:dyDescent="0.35">
      <c r="A622" t="s">
        <v>3076</v>
      </c>
      <c r="B622" t="s">
        <v>4143</v>
      </c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x14ac:dyDescent="0.35">
      <c r="A623" t="s">
        <v>3065</v>
      </c>
      <c r="B623" t="s">
        <v>4132</v>
      </c>
      <c r="D623" t="b">
        <f>IFERROR(VLOOKUP(B623,PatData!$A$2:$A$2000,1,),"")&lt;&gt;""</f>
        <v>1</v>
      </c>
      <c r="E623" t="b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x14ac:dyDescent="0.35">
      <c r="A624" t="s">
        <v>3066</v>
      </c>
      <c r="B624" t="s">
        <v>4133</v>
      </c>
      <c r="D624" t="b">
        <f>IFERROR(VLOOKUP(B624,PatData!$A$2:$A$2000,1,),"")&lt;&gt;""</f>
        <v>1</v>
      </c>
      <c r="E624" t="b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x14ac:dyDescent="0.35">
      <c r="A625" t="s">
        <v>3067</v>
      </c>
      <c r="B625" t="s">
        <v>4134</v>
      </c>
      <c r="D625" t="b">
        <f>IFERROR(VLOOKUP(B625,PatData!$A$2:$A$2000,1,),"")&lt;&gt;""</f>
        <v>1</v>
      </c>
      <c r="E625" t="b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x14ac:dyDescent="0.35">
      <c r="A626" t="s">
        <v>3068</v>
      </c>
      <c r="B626" t="s">
        <v>4135</v>
      </c>
      <c r="D626" t="b">
        <f>IFERROR(VLOOKUP(B626,PatData!$A$2:$A$2000,1,),"")&lt;&gt;""</f>
        <v>1</v>
      </c>
      <c r="E626" t="b">
        <v>0</v>
      </c>
      <c r="F626" t="b">
        <v>0</v>
      </c>
      <c r="G626" t="b">
        <v>1</v>
      </c>
      <c r="H626" t="b">
        <v>1</v>
      </c>
      <c r="I626" t="b">
        <v>0</v>
      </c>
    </row>
    <row r="627" spans="1:9" x14ac:dyDescent="0.35">
      <c r="A627" t="s">
        <v>2335</v>
      </c>
      <c r="B627" t="s">
        <v>4347</v>
      </c>
      <c r="D627" t="b">
        <f>IFERROR(VLOOKUP(B627,PatData!$A$2:$A$2000,1,),"")&lt;&gt;""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x14ac:dyDescent="0.35">
      <c r="A628" t="s">
        <v>2422</v>
      </c>
      <c r="B628" t="s">
        <v>3097</v>
      </c>
      <c r="D628" t="b">
        <f>IFERROR(VLOOKUP(B628,PatData!$A$2:$A$2000,1,),"")&lt;&gt;""</f>
        <v>1</v>
      </c>
      <c r="F628" t="b">
        <v>0</v>
      </c>
      <c r="G628" t="b">
        <v>1</v>
      </c>
      <c r="H628" t="b">
        <v>1</v>
      </c>
      <c r="I628" t="b">
        <v>0</v>
      </c>
    </row>
    <row r="629" spans="1:9" x14ac:dyDescent="0.35">
      <c r="A629" t="s">
        <v>2423</v>
      </c>
      <c r="B629" t="s">
        <v>3098</v>
      </c>
      <c r="D629" t="b">
        <f>IFERROR(VLOOKUP(B629,PatData!$A$2:$A$2000,1,),"")&lt;&gt;""</f>
        <v>1</v>
      </c>
      <c r="F629" t="b">
        <v>0</v>
      </c>
      <c r="G629" t="b">
        <v>1</v>
      </c>
      <c r="H629" t="b">
        <v>1</v>
      </c>
      <c r="I629" t="b">
        <v>0</v>
      </c>
    </row>
    <row r="630" spans="1:9" x14ac:dyDescent="0.35">
      <c r="A630" t="s">
        <v>2424</v>
      </c>
      <c r="B630" t="s">
        <v>3099</v>
      </c>
      <c r="D630" t="b">
        <f>IFERROR(VLOOKUP(B630,PatData!$A$2:$A$2000,1,),"")&lt;&gt;""</f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x14ac:dyDescent="0.35">
      <c r="A631" t="s">
        <v>2425</v>
      </c>
      <c r="B631" t="s">
        <v>3100</v>
      </c>
      <c r="D631" t="b">
        <f>IFERROR(VLOOKUP(B631,PatData!$A$2:$A$2000,1,),"")&lt;&gt;""</f>
        <v>1</v>
      </c>
      <c r="F631" t="b">
        <v>0</v>
      </c>
      <c r="G631" t="b">
        <v>1</v>
      </c>
      <c r="H631" t="b">
        <v>1</v>
      </c>
      <c r="I631" t="b">
        <v>0</v>
      </c>
    </row>
    <row r="632" spans="1:9" x14ac:dyDescent="0.35">
      <c r="A632" t="s">
        <v>2426</v>
      </c>
      <c r="B632" t="s">
        <v>3101</v>
      </c>
      <c r="D632" t="b">
        <f>IFERROR(VLOOKUP(B632,PatData!$A$2:$A$2000,1,),"")&lt;&gt;""</f>
        <v>1</v>
      </c>
      <c r="F632" t="b">
        <v>0</v>
      </c>
      <c r="G632" t="b">
        <v>1</v>
      </c>
      <c r="H632" t="b">
        <v>1</v>
      </c>
      <c r="I632" t="b">
        <v>0</v>
      </c>
    </row>
    <row r="633" spans="1:9" x14ac:dyDescent="0.35">
      <c r="A633" t="s">
        <v>2427</v>
      </c>
      <c r="B633" t="s">
        <v>3102</v>
      </c>
      <c r="D633" t="b">
        <f>IFERROR(VLOOKUP(B633,PatData!$A$2:$A$2000,1,),"")&lt;&gt;""</f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x14ac:dyDescent="0.35">
      <c r="A634" t="s">
        <v>2428</v>
      </c>
      <c r="B634" t="s">
        <v>3103</v>
      </c>
      <c r="D634" t="b">
        <f>IFERROR(VLOOKUP(B634,PatData!$A$2:$A$2000,1,),"")&lt;&gt;""</f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x14ac:dyDescent="0.35">
      <c r="A635" t="s">
        <v>2429</v>
      </c>
      <c r="B635" t="s">
        <v>3104</v>
      </c>
      <c r="D635" t="b">
        <f>IFERROR(VLOOKUP(B635,PatData!$A$2:$A$2000,1,),"")&lt;&gt;""</f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x14ac:dyDescent="0.35">
      <c r="A636" t="s">
        <v>2430</v>
      </c>
      <c r="B636" t="s">
        <v>3105</v>
      </c>
      <c r="D636" t="b">
        <f>IFERROR(VLOOKUP(B636,PatData!$A$2:$A$2000,1,),"")&lt;&gt;""</f>
        <v>1</v>
      </c>
      <c r="F636" t="b">
        <v>0</v>
      </c>
      <c r="G636" t="b">
        <v>1</v>
      </c>
      <c r="H636" t="b">
        <v>1</v>
      </c>
      <c r="I636" t="b">
        <v>0</v>
      </c>
    </row>
    <row r="637" spans="1:9" x14ac:dyDescent="0.35">
      <c r="A637" t="s">
        <v>2431</v>
      </c>
      <c r="B637" t="s">
        <v>3106</v>
      </c>
      <c r="D637" t="b">
        <f>IFERROR(VLOOKUP(B637,PatData!$A$2:$A$2000,1,),"")&lt;&gt;""</f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x14ac:dyDescent="0.35">
      <c r="A638" t="s">
        <v>2432</v>
      </c>
      <c r="B638" t="s">
        <v>3107</v>
      </c>
      <c r="D638" t="b">
        <f>IFERROR(VLOOKUP(B638,PatData!$A$2:$A$2000,1,),"")&lt;&gt;""</f>
        <v>1</v>
      </c>
      <c r="F638" t="b">
        <v>0</v>
      </c>
      <c r="G638" t="b">
        <v>1</v>
      </c>
      <c r="H638" t="b">
        <v>1</v>
      </c>
      <c r="I638" t="b">
        <v>0</v>
      </c>
    </row>
    <row r="639" spans="1:9" x14ac:dyDescent="0.35">
      <c r="A639" t="s">
        <v>2433</v>
      </c>
      <c r="B639" t="s">
        <v>3108</v>
      </c>
      <c r="D639" t="b">
        <f>IFERROR(VLOOKUP(B639,PatData!$A$2:$A$2000,1,),"")&lt;&gt;""</f>
        <v>1</v>
      </c>
      <c r="F639" t="b">
        <v>0</v>
      </c>
      <c r="G639" t="b">
        <v>1</v>
      </c>
      <c r="H639" t="b">
        <v>1</v>
      </c>
      <c r="I639" t="b">
        <v>0</v>
      </c>
    </row>
    <row r="640" spans="1:9" x14ac:dyDescent="0.35">
      <c r="A640" t="s">
        <v>2434</v>
      </c>
      <c r="B640" t="s">
        <v>3109</v>
      </c>
      <c r="D640" t="b">
        <f>IFERROR(VLOOKUP(B640,PatData!$A$2:$A$2000,1,),"")&lt;&gt;""</f>
        <v>1</v>
      </c>
      <c r="F640" t="b">
        <v>0</v>
      </c>
      <c r="G640" t="b">
        <v>1</v>
      </c>
      <c r="H640" t="b">
        <v>1</v>
      </c>
      <c r="I640" t="b">
        <v>0</v>
      </c>
    </row>
    <row r="641" spans="1:9" x14ac:dyDescent="0.35">
      <c r="A641" t="s">
        <v>2435</v>
      </c>
      <c r="B641" t="s">
        <v>3110</v>
      </c>
      <c r="D641" t="b">
        <f>IFERROR(VLOOKUP(B641,PatData!$A$2:$A$2000,1,),"")&lt;&gt;""</f>
        <v>1</v>
      </c>
      <c r="F641" t="b">
        <v>0</v>
      </c>
      <c r="G641" t="b">
        <v>1</v>
      </c>
      <c r="H641" t="b">
        <v>1</v>
      </c>
      <c r="I641" t="b">
        <v>0</v>
      </c>
    </row>
    <row r="642" spans="1:9" x14ac:dyDescent="0.35">
      <c r="A642" t="s">
        <v>2436</v>
      </c>
      <c r="B642" t="s">
        <v>3111</v>
      </c>
      <c r="D642" t="b">
        <f>IFERROR(VLOOKUP(B642,PatData!$A$2:$A$2000,1,),"")&lt;&gt;""</f>
        <v>1</v>
      </c>
      <c r="F642" t="b">
        <v>0</v>
      </c>
      <c r="G642" t="b">
        <v>1</v>
      </c>
      <c r="H642" t="b">
        <v>1</v>
      </c>
      <c r="I642" t="b">
        <v>0</v>
      </c>
    </row>
    <row r="643" spans="1:9" x14ac:dyDescent="0.35">
      <c r="A643" t="s">
        <v>2437</v>
      </c>
      <c r="B643" t="s">
        <v>3112</v>
      </c>
      <c r="D643" t="b">
        <f>IFERROR(VLOOKUP(B643,PatData!$A$2:$A$2000,1,),"")&lt;&gt;""</f>
        <v>1</v>
      </c>
      <c r="F643" t="b">
        <v>0</v>
      </c>
      <c r="G643" t="b">
        <v>1</v>
      </c>
      <c r="H643" t="b">
        <v>1</v>
      </c>
      <c r="I643" t="b">
        <v>0</v>
      </c>
    </row>
    <row r="644" spans="1:9" x14ac:dyDescent="0.35">
      <c r="A644" t="s">
        <v>2438</v>
      </c>
      <c r="B644" t="s">
        <v>3113</v>
      </c>
      <c r="D644" t="b">
        <f>IFERROR(VLOOKUP(B644,PatData!$A$2:$A$2000,1,),"")&lt;&gt;""</f>
        <v>1</v>
      </c>
      <c r="F644" t="b">
        <v>0</v>
      </c>
      <c r="G644" t="b">
        <v>1</v>
      </c>
      <c r="H644" t="b">
        <v>1</v>
      </c>
      <c r="I644" t="b">
        <v>0</v>
      </c>
    </row>
    <row r="645" spans="1:9" x14ac:dyDescent="0.35">
      <c r="A645" t="s">
        <v>2439</v>
      </c>
      <c r="B645" t="s">
        <v>3114</v>
      </c>
      <c r="D645" t="b">
        <f>IFERROR(VLOOKUP(B645,PatData!$A$2:$A$2000,1,),"")&lt;&gt;""</f>
        <v>1</v>
      </c>
      <c r="F645" t="b">
        <v>0</v>
      </c>
      <c r="G645" t="b">
        <v>1</v>
      </c>
      <c r="H645" t="b">
        <v>1</v>
      </c>
      <c r="I645" t="b">
        <v>0</v>
      </c>
    </row>
    <row r="646" spans="1:9" x14ac:dyDescent="0.35">
      <c r="A646" t="s">
        <v>2440</v>
      </c>
      <c r="B646" t="s">
        <v>3115</v>
      </c>
      <c r="D646" t="b">
        <f>IFERROR(VLOOKUP(B646,PatData!$A$2:$A$2000,1,),"")&lt;&gt;""</f>
        <v>1</v>
      </c>
      <c r="F646" t="b">
        <v>0</v>
      </c>
      <c r="G646" t="b">
        <v>1</v>
      </c>
      <c r="H646" t="b">
        <v>1</v>
      </c>
      <c r="I646" t="b">
        <v>0</v>
      </c>
    </row>
    <row r="647" spans="1:9" x14ac:dyDescent="0.35">
      <c r="A647" t="s">
        <v>2441</v>
      </c>
      <c r="B647" t="s">
        <v>3116</v>
      </c>
      <c r="D647" t="b">
        <f>IFERROR(VLOOKUP(B647,PatData!$A$2:$A$2000,1,),"")&lt;&gt;""</f>
        <v>1</v>
      </c>
      <c r="F647" t="b">
        <v>0</v>
      </c>
      <c r="G647" t="b">
        <v>1</v>
      </c>
      <c r="H647" t="b">
        <v>1</v>
      </c>
      <c r="I647" t="b">
        <v>0</v>
      </c>
    </row>
    <row r="648" spans="1:9" x14ac:dyDescent="0.35">
      <c r="A648" t="s">
        <v>2442</v>
      </c>
      <c r="B648" t="s">
        <v>3117</v>
      </c>
      <c r="D648" t="b">
        <f>IFERROR(VLOOKUP(B648,PatData!$A$2:$A$2000,1,),"")&lt;&gt;""</f>
        <v>1</v>
      </c>
      <c r="F648" t="b">
        <v>0</v>
      </c>
      <c r="G648" t="b">
        <v>1</v>
      </c>
      <c r="H648" t="b">
        <v>1</v>
      </c>
      <c r="I648" t="b">
        <v>0</v>
      </c>
    </row>
    <row r="649" spans="1:9" x14ac:dyDescent="0.35">
      <c r="A649" t="s">
        <v>2443</v>
      </c>
      <c r="B649" t="s">
        <v>3118</v>
      </c>
      <c r="D649" t="b">
        <f>IFERROR(VLOOKUP(B649,PatData!$A$2:$A$2000,1,),"")&lt;&gt;""</f>
        <v>1</v>
      </c>
      <c r="F649" t="b">
        <v>0</v>
      </c>
      <c r="G649" t="b">
        <v>1</v>
      </c>
      <c r="H649" t="b">
        <v>1</v>
      </c>
      <c r="I649" t="b">
        <v>0</v>
      </c>
    </row>
    <row r="650" spans="1:9" x14ac:dyDescent="0.35">
      <c r="A650" t="s">
        <v>2444</v>
      </c>
      <c r="B650" t="s">
        <v>3119</v>
      </c>
      <c r="D650" t="b">
        <f>IFERROR(VLOOKUP(B650,PatData!$A$2:$A$2000,1,),"")&lt;&gt;""</f>
        <v>1</v>
      </c>
      <c r="F650" t="b">
        <v>0</v>
      </c>
      <c r="G650" t="b">
        <v>1</v>
      </c>
      <c r="H650" t="b">
        <v>1</v>
      </c>
      <c r="I650" t="b">
        <v>0</v>
      </c>
    </row>
    <row r="651" spans="1:9" x14ac:dyDescent="0.35">
      <c r="A651" t="s">
        <v>2445</v>
      </c>
      <c r="B651" t="s">
        <v>3120</v>
      </c>
      <c r="D651" t="b">
        <f>IFERROR(VLOOKUP(B651,PatData!$A$2:$A$2000,1,),"")&lt;&gt;""</f>
        <v>1</v>
      </c>
      <c r="F651" t="b">
        <v>0</v>
      </c>
      <c r="G651" t="b">
        <v>1</v>
      </c>
      <c r="H651" t="b">
        <v>1</v>
      </c>
      <c r="I651" t="b">
        <v>0</v>
      </c>
    </row>
    <row r="652" spans="1:9" x14ac:dyDescent="0.35">
      <c r="A652" t="s">
        <v>2446</v>
      </c>
      <c r="B652" t="s">
        <v>3121</v>
      </c>
      <c r="D652" t="b">
        <f>IFERROR(VLOOKUP(B652,PatData!$A$2:$A$2000,1,),"")&lt;&gt;""</f>
        <v>1</v>
      </c>
      <c r="F652" t="b">
        <v>0</v>
      </c>
      <c r="G652" t="b">
        <v>1</v>
      </c>
      <c r="H652" t="b">
        <v>1</v>
      </c>
      <c r="I652" t="b">
        <v>0</v>
      </c>
    </row>
    <row r="653" spans="1:9" x14ac:dyDescent="0.35">
      <c r="A653" t="s">
        <v>2447</v>
      </c>
      <c r="B653" t="s">
        <v>3122</v>
      </c>
      <c r="D653" t="b">
        <f>IFERROR(VLOOKUP(B653,PatData!$A$2:$A$2000,1,),"")&lt;&gt;""</f>
        <v>1</v>
      </c>
      <c r="F653" t="b">
        <v>0</v>
      </c>
      <c r="G653" t="b">
        <v>1</v>
      </c>
      <c r="H653" t="b">
        <v>1</v>
      </c>
      <c r="I653" t="b">
        <v>0</v>
      </c>
    </row>
    <row r="654" spans="1:9" x14ac:dyDescent="0.35">
      <c r="A654" t="s">
        <v>2448</v>
      </c>
      <c r="B654" t="s">
        <v>3123</v>
      </c>
      <c r="D654" t="b">
        <f>IFERROR(VLOOKUP(B654,PatData!$A$2:$A$2000,1,),"")&lt;&gt;""</f>
        <v>1</v>
      </c>
      <c r="F654" t="b">
        <v>0</v>
      </c>
      <c r="G654" t="b">
        <v>1</v>
      </c>
      <c r="H654" t="b">
        <v>1</v>
      </c>
      <c r="I654" t="b">
        <v>0</v>
      </c>
    </row>
    <row r="655" spans="1:9" x14ac:dyDescent="0.35">
      <c r="A655" t="s">
        <v>2449</v>
      </c>
      <c r="B655" t="s">
        <v>3124</v>
      </c>
      <c r="D655" t="b">
        <f>IFERROR(VLOOKUP(B655,PatData!$A$2:$A$2000,1,),"")&lt;&gt;""</f>
        <v>1</v>
      </c>
      <c r="F655" t="b">
        <v>0</v>
      </c>
      <c r="G655" t="b">
        <v>1</v>
      </c>
      <c r="H655" t="b">
        <v>1</v>
      </c>
      <c r="I655" t="b">
        <v>0</v>
      </c>
    </row>
    <row r="656" spans="1:9" x14ac:dyDescent="0.35">
      <c r="A656" t="s">
        <v>2450</v>
      </c>
      <c r="B656" t="s">
        <v>3125</v>
      </c>
      <c r="D656" t="b">
        <f>IFERROR(VLOOKUP(B656,PatData!$A$2:$A$2000,1,),"")&lt;&gt;""</f>
        <v>1</v>
      </c>
      <c r="F656" t="b">
        <v>0</v>
      </c>
      <c r="G656" t="b">
        <v>1</v>
      </c>
      <c r="H656" t="b">
        <v>1</v>
      </c>
      <c r="I656" t="b">
        <v>0</v>
      </c>
    </row>
    <row r="657" spans="1:9" x14ac:dyDescent="0.35">
      <c r="A657" t="s">
        <v>2451</v>
      </c>
      <c r="B657" t="s">
        <v>3126</v>
      </c>
      <c r="D657" t="b">
        <f>IFERROR(VLOOKUP(B657,PatData!$A$2:$A$2000,1,),"")&lt;&gt;""</f>
        <v>1</v>
      </c>
      <c r="F657" t="b">
        <v>0</v>
      </c>
      <c r="G657" t="b">
        <v>1</v>
      </c>
      <c r="H657" t="b">
        <v>1</v>
      </c>
      <c r="I657" t="b">
        <v>0</v>
      </c>
    </row>
    <row r="658" spans="1:9" x14ac:dyDescent="0.35">
      <c r="A658" t="s">
        <v>2452</v>
      </c>
      <c r="B658" t="s">
        <v>3127</v>
      </c>
      <c r="D658" t="b">
        <f>IFERROR(VLOOKUP(B658,PatData!$A$2:$A$2000,1,),"")&lt;&gt;""</f>
        <v>1</v>
      </c>
      <c r="F658" t="b">
        <v>0</v>
      </c>
      <c r="G658" t="b">
        <v>1</v>
      </c>
      <c r="H658" t="b">
        <v>1</v>
      </c>
      <c r="I658" t="b">
        <v>0</v>
      </c>
    </row>
    <row r="659" spans="1:9" x14ac:dyDescent="0.35">
      <c r="A659" t="s">
        <v>2453</v>
      </c>
      <c r="B659" t="s">
        <v>3128</v>
      </c>
      <c r="D659" t="b">
        <f>IFERROR(VLOOKUP(B659,PatData!$A$2:$A$2000,1,),"")&lt;&gt;""</f>
        <v>1</v>
      </c>
      <c r="F659" t="b">
        <v>0</v>
      </c>
      <c r="G659" t="b">
        <v>1</v>
      </c>
      <c r="H659" t="b">
        <v>1</v>
      </c>
      <c r="I659" t="b">
        <v>0</v>
      </c>
    </row>
    <row r="660" spans="1:9" x14ac:dyDescent="0.35">
      <c r="A660" t="s">
        <v>2454</v>
      </c>
      <c r="B660" t="s">
        <v>3129</v>
      </c>
      <c r="D660" t="b">
        <f>IFERROR(VLOOKUP(B660,PatData!$A$2:$A$2000,1,),"")&lt;&gt;""</f>
        <v>1</v>
      </c>
      <c r="F660" t="b">
        <v>0</v>
      </c>
      <c r="G660" t="b">
        <v>1</v>
      </c>
      <c r="H660" t="b">
        <v>1</v>
      </c>
      <c r="I660" t="b">
        <v>0</v>
      </c>
    </row>
    <row r="661" spans="1:9" x14ac:dyDescent="0.35">
      <c r="A661" t="s">
        <v>2455</v>
      </c>
      <c r="B661" t="s">
        <v>3130</v>
      </c>
      <c r="D661" t="b">
        <f>IFERROR(VLOOKUP(B661,PatData!$A$2:$A$2000,1,),"")&lt;&gt;""</f>
        <v>1</v>
      </c>
      <c r="F661" t="b">
        <v>0</v>
      </c>
      <c r="G661" t="b">
        <v>1</v>
      </c>
      <c r="H661" t="b">
        <v>1</v>
      </c>
      <c r="I661" t="b">
        <v>0</v>
      </c>
    </row>
    <row r="662" spans="1:9" x14ac:dyDescent="0.35">
      <c r="A662" t="s">
        <v>2456</v>
      </c>
      <c r="B662" t="s">
        <v>3131</v>
      </c>
      <c r="D662" t="b">
        <f>IFERROR(VLOOKUP(B662,PatData!$A$2:$A$2000,1,),"")&lt;&gt;""</f>
        <v>1</v>
      </c>
      <c r="F662" t="b">
        <v>0</v>
      </c>
      <c r="G662" t="b">
        <v>1</v>
      </c>
      <c r="H662" t="b">
        <v>1</v>
      </c>
      <c r="I662" t="b">
        <v>0</v>
      </c>
    </row>
    <row r="663" spans="1:9" x14ac:dyDescent="0.35">
      <c r="A663" t="s">
        <v>2457</v>
      </c>
      <c r="B663" t="s">
        <v>3132</v>
      </c>
      <c r="D663" t="b">
        <f>IFERROR(VLOOKUP(B663,PatData!$A$2:$A$2000,1,),"")&lt;&gt;""</f>
        <v>1</v>
      </c>
      <c r="F663" t="b">
        <v>0</v>
      </c>
      <c r="G663" t="b">
        <v>1</v>
      </c>
      <c r="H663" t="b">
        <v>1</v>
      </c>
      <c r="I663" t="b">
        <v>0</v>
      </c>
    </row>
    <row r="664" spans="1:9" x14ac:dyDescent="0.35">
      <c r="A664" t="s">
        <v>2458</v>
      </c>
      <c r="B664" t="s">
        <v>3133</v>
      </c>
      <c r="D664" t="b">
        <f>IFERROR(VLOOKUP(B664,PatData!$A$2:$A$2000,1,),"")&lt;&gt;""</f>
        <v>1</v>
      </c>
      <c r="F664" t="b">
        <v>0</v>
      </c>
      <c r="G664" t="b">
        <v>1</v>
      </c>
      <c r="H664" t="b">
        <v>1</v>
      </c>
      <c r="I664" t="b">
        <v>0</v>
      </c>
    </row>
    <row r="665" spans="1:9" x14ac:dyDescent="0.35">
      <c r="A665" t="s">
        <v>2459</v>
      </c>
      <c r="B665" t="s">
        <v>3134</v>
      </c>
      <c r="D665" t="b">
        <f>IFERROR(VLOOKUP(B665,PatData!$A$2:$A$2000,1,),"")&lt;&gt;""</f>
        <v>1</v>
      </c>
      <c r="F665" t="b">
        <v>0</v>
      </c>
      <c r="G665" t="b">
        <v>1</v>
      </c>
      <c r="H665" t="b">
        <v>1</v>
      </c>
      <c r="I665" t="b">
        <v>0</v>
      </c>
    </row>
    <row r="666" spans="1:9" x14ac:dyDescent="0.35">
      <c r="A666" t="s">
        <v>2460</v>
      </c>
      <c r="B666" t="s">
        <v>3135</v>
      </c>
      <c r="D666" t="b">
        <f>IFERROR(VLOOKUP(B666,PatData!$A$2:$A$2000,1,),"")&lt;&gt;""</f>
        <v>1</v>
      </c>
      <c r="F666" t="b">
        <v>0</v>
      </c>
      <c r="G666" t="b">
        <v>1</v>
      </c>
      <c r="H666" t="b">
        <v>1</v>
      </c>
      <c r="I666" t="b">
        <v>0</v>
      </c>
    </row>
    <row r="667" spans="1:9" x14ac:dyDescent="0.35">
      <c r="A667" t="s">
        <v>2461</v>
      </c>
      <c r="B667" t="s">
        <v>3136</v>
      </c>
      <c r="D667" t="b">
        <f>IFERROR(VLOOKUP(B667,PatData!$A$2:$A$2000,1,),"")&lt;&gt;""</f>
        <v>1</v>
      </c>
      <c r="F667" t="b">
        <v>0</v>
      </c>
      <c r="G667" t="b">
        <v>1</v>
      </c>
      <c r="H667" t="b">
        <v>1</v>
      </c>
      <c r="I667" t="b">
        <v>0</v>
      </c>
    </row>
    <row r="668" spans="1:9" x14ac:dyDescent="0.35">
      <c r="A668" t="s">
        <v>2462</v>
      </c>
      <c r="B668" t="s">
        <v>3137</v>
      </c>
      <c r="D668" t="b">
        <f>IFERROR(VLOOKUP(B668,PatData!$A$2:$A$2000,1,),"")&lt;&gt;""</f>
        <v>1</v>
      </c>
      <c r="F668" t="b">
        <v>0</v>
      </c>
      <c r="G668" t="b">
        <v>1</v>
      </c>
      <c r="H668" t="b">
        <v>1</v>
      </c>
      <c r="I668" t="b">
        <v>0</v>
      </c>
    </row>
    <row r="669" spans="1:9" x14ac:dyDescent="0.35">
      <c r="A669" t="s">
        <v>2463</v>
      </c>
      <c r="B669" t="s">
        <v>3138</v>
      </c>
      <c r="D669" t="b">
        <f>IFERROR(VLOOKUP(B669,PatData!$A$2:$A$2000,1,),"")&lt;&gt;""</f>
        <v>1</v>
      </c>
      <c r="F669" t="b">
        <v>0</v>
      </c>
      <c r="G669" t="b">
        <v>1</v>
      </c>
      <c r="H669" t="b">
        <v>1</v>
      </c>
      <c r="I669" t="b">
        <v>0</v>
      </c>
    </row>
    <row r="670" spans="1:9" x14ac:dyDescent="0.35">
      <c r="A670" t="s">
        <v>2464</v>
      </c>
      <c r="B670" t="s">
        <v>3139</v>
      </c>
      <c r="D670" t="b">
        <f>IFERROR(VLOOKUP(B670,PatData!$A$2:$A$2000,1,),"")&lt;&gt;""</f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x14ac:dyDescent="0.35">
      <c r="A671" t="s">
        <v>2465</v>
      </c>
      <c r="B671" t="s">
        <v>3140</v>
      </c>
      <c r="D671" t="b">
        <f>IFERROR(VLOOKUP(B671,PatData!$A$2:$A$2000,1,),"")&lt;&gt;""</f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x14ac:dyDescent="0.35">
      <c r="A672" t="s">
        <v>2466</v>
      </c>
      <c r="B672" t="s">
        <v>3141</v>
      </c>
      <c r="D672" t="b">
        <f>IFERROR(VLOOKUP(B672,PatData!$A$2:$A$2000,1,),"")&lt;&gt;""</f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x14ac:dyDescent="0.35">
      <c r="A673" t="s">
        <v>2467</v>
      </c>
      <c r="B673" t="s">
        <v>3142</v>
      </c>
      <c r="D673" t="b">
        <f>IFERROR(VLOOKUP(B673,PatData!$A$2:$A$2000,1,),"")&lt;&gt;""</f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x14ac:dyDescent="0.35">
      <c r="A674" t="s">
        <v>2468</v>
      </c>
      <c r="B674" t="s">
        <v>3143</v>
      </c>
      <c r="D674" t="b">
        <f>IFERROR(VLOOKUP(B674,PatData!$A$2:$A$2000,1,),"")&lt;&gt;""</f>
        <v>1</v>
      </c>
      <c r="F674" t="b">
        <v>0</v>
      </c>
      <c r="G674" t="b">
        <v>1</v>
      </c>
      <c r="H674" t="b">
        <v>1</v>
      </c>
      <c r="I674" t="b">
        <v>0</v>
      </c>
    </row>
    <row r="675" spans="1:9" x14ac:dyDescent="0.35">
      <c r="A675" t="s">
        <v>2469</v>
      </c>
      <c r="B675" t="s">
        <v>3144</v>
      </c>
      <c r="D675" t="b">
        <f>IFERROR(VLOOKUP(B675,PatData!$A$2:$A$2000,1,),"")&lt;&gt;""</f>
        <v>1</v>
      </c>
      <c r="F675" t="b">
        <v>0</v>
      </c>
      <c r="G675" t="b">
        <v>1</v>
      </c>
      <c r="H675" t="b">
        <v>1</v>
      </c>
      <c r="I675" t="b">
        <v>0</v>
      </c>
    </row>
    <row r="676" spans="1:9" x14ac:dyDescent="0.35">
      <c r="A676" t="s">
        <v>2470</v>
      </c>
      <c r="B676" t="s">
        <v>3145</v>
      </c>
      <c r="D676" t="b">
        <f>IFERROR(VLOOKUP(B676,PatData!$A$2:$A$2000,1,),"")&lt;&gt;""</f>
        <v>1</v>
      </c>
      <c r="F676" t="b">
        <v>0</v>
      </c>
      <c r="G676" t="b">
        <v>1</v>
      </c>
      <c r="H676" t="b">
        <v>1</v>
      </c>
      <c r="I676" t="b">
        <v>0</v>
      </c>
    </row>
    <row r="677" spans="1:9" x14ac:dyDescent="0.35">
      <c r="A677" t="s">
        <v>2471</v>
      </c>
      <c r="B677" t="s">
        <v>3146</v>
      </c>
      <c r="D677" t="b">
        <f>IFERROR(VLOOKUP(B677,PatData!$A$2:$A$2000,1,),"")&lt;&gt;""</f>
        <v>1</v>
      </c>
      <c r="F677" t="b">
        <v>0</v>
      </c>
      <c r="G677" t="b">
        <v>1</v>
      </c>
      <c r="H677" t="b">
        <v>1</v>
      </c>
      <c r="I677" t="b">
        <v>0</v>
      </c>
    </row>
    <row r="678" spans="1:9" x14ac:dyDescent="0.35">
      <c r="A678" t="s">
        <v>2472</v>
      </c>
      <c r="B678" t="s">
        <v>3147</v>
      </c>
      <c r="D678" t="b">
        <f>IFERROR(VLOOKUP(B678,PatData!$A$2:$A$2000,1,),"")&lt;&gt;""</f>
        <v>1</v>
      </c>
      <c r="F678" t="b">
        <v>0</v>
      </c>
      <c r="G678" t="b">
        <v>1</v>
      </c>
      <c r="H678" t="b">
        <v>1</v>
      </c>
      <c r="I678" t="b">
        <v>0</v>
      </c>
    </row>
    <row r="679" spans="1:9" x14ac:dyDescent="0.35">
      <c r="A679" t="s">
        <v>2473</v>
      </c>
      <c r="B679" t="s">
        <v>3148</v>
      </c>
      <c r="D679" t="b">
        <f>IFERROR(VLOOKUP(B679,PatData!$A$2:$A$2000,1,),"")&lt;&gt;""</f>
        <v>1</v>
      </c>
      <c r="F679" t="b">
        <v>0</v>
      </c>
      <c r="G679" t="b">
        <v>1</v>
      </c>
      <c r="H679" t="b">
        <v>1</v>
      </c>
      <c r="I679" t="b">
        <v>0</v>
      </c>
    </row>
    <row r="680" spans="1:9" x14ac:dyDescent="0.35">
      <c r="A680" t="s">
        <v>2474</v>
      </c>
      <c r="B680" t="s">
        <v>3149</v>
      </c>
      <c r="D680" t="b">
        <f>IFERROR(VLOOKUP(B680,PatData!$A$2:$A$2000,1,),"")&lt;&gt;""</f>
        <v>1</v>
      </c>
      <c r="F680" t="b">
        <v>0</v>
      </c>
      <c r="G680" t="b">
        <v>1</v>
      </c>
      <c r="H680" t="b">
        <v>1</v>
      </c>
      <c r="I680" t="b">
        <v>0</v>
      </c>
    </row>
    <row r="681" spans="1:9" x14ac:dyDescent="0.35">
      <c r="A681" t="s">
        <v>2475</v>
      </c>
      <c r="B681" t="s">
        <v>3150</v>
      </c>
      <c r="D681" t="b">
        <f>IFERROR(VLOOKUP(B681,PatData!$A$2:$A$2000,1,),"")&lt;&gt;""</f>
        <v>1</v>
      </c>
      <c r="F681" t="b">
        <v>0</v>
      </c>
      <c r="G681" t="b">
        <v>1</v>
      </c>
      <c r="H681" t="b">
        <v>1</v>
      </c>
      <c r="I681" t="b">
        <v>0</v>
      </c>
    </row>
    <row r="682" spans="1:9" x14ac:dyDescent="0.35">
      <c r="A682" t="s">
        <v>2476</v>
      </c>
      <c r="B682" t="s">
        <v>3151</v>
      </c>
      <c r="D682" t="b">
        <f>IFERROR(VLOOKUP(B682,PatData!$A$2:$A$2000,1,),"")&lt;&gt;""</f>
        <v>1</v>
      </c>
      <c r="F682" t="b">
        <v>0</v>
      </c>
      <c r="G682" t="b">
        <v>1</v>
      </c>
      <c r="H682" t="b">
        <v>1</v>
      </c>
      <c r="I682" t="b">
        <v>0</v>
      </c>
    </row>
    <row r="683" spans="1:9" x14ac:dyDescent="0.35">
      <c r="A683" t="s">
        <v>2477</v>
      </c>
      <c r="B683" t="s">
        <v>3152</v>
      </c>
      <c r="D683" t="b">
        <f>IFERROR(VLOOKUP(B683,PatData!$A$2:$A$2000,1,),"")&lt;&gt;""</f>
        <v>1</v>
      </c>
      <c r="F683" t="b">
        <v>0</v>
      </c>
      <c r="G683" t="b">
        <v>1</v>
      </c>
      <c r="H683" t="b">
        <v>1</v>
      </c>
      <c r="I683" t="b">
        <v>0</v>
      </c>
    </row>
    <row r="684" spans="1:9" x14ac:dyDescent="0.35">
      <c r="A684" t="s">
        <v>2478</v>
      </c>
      <c r="B684" t="s">
        <v>3153</v>
      </c>
      <c r="D684" t="b">
        <f>IFERROR(VLOOKUP(B684,PatData!$A$2:$A$2000,1,),"")&lt;&gt;""</f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x14ac:dyDescent="0.35">
      <c r="A685" t="s">
        <v>2479</v>
      </c>
      <c r="B685" t="s">
        <v>3154</v>
      </c>
      <c r="D685" t="b">
        <f>IFERROR(VLOOKUP(B685,PatData!$A$2:$A$2000,1,),"")&lt;&gt;""</f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x14ac:dyDescent="0.35">
      <c r="A686" t="s">
        <v>2480</v>
      </c>
      <c r="B686" t="s">
        <v>3155</v>
      </c>
      <c r="D686" t="b">
        <f>IFERROR(VLOOKUP(B686,PatData!$A$2:$A$2000,1,),"")&lt;&gt;""</f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x14ac:dyDescent="0.35">
      <c r="A687" t="s">
        <v>2481</v>
      </c>
      <c r="B687" t="s">
        <v>3156</v>
      </c>
      <c r="D687" t="b">
        <f>IFERROR(VLOOKUP(B687,PatData!$A$2:$A$2000,1,),"")&lt;&gt;""</f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x14ac:dyDescent="0.35">
      <c r="A688" t="s">
        <v>2482</v>
      </c>
      <c r="B688" t="s">
        <v>3157</v>
      </c>
      <c r="D688" t="b">
        <f>IFERROR(VLOOKUP(B688,PatData!$A$2:$A$2000,1,),"")&lt;&gt;""</f>
        <v>1</v>
      </c>
      <c r="F688" t="b">
        <v>0</v>
      </c>
      <c r="G688" t="b">
        <v>1</v>
      </c>
      <c r="H688" t="b">
        <v>1</v>
      </c>
      <c r="I688" t="b">
        <v>0</v>
      </c>
    </row>
    <row r="689" spans="1:9" x14ac:dyDescent="0.35">
      <c r="A689" t="s">
        <v>2483</v>
      </c>
      <c r="B689" t="s">
        <v>3158</v>
      </c>
      <c r="D689" t="b">
        <f>IFERROR(VLOOKUP(B689,PatData!$A$2:$A$2000,1,),"")&lt;&gt;""</f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x14ac:dyDescent="0.35">
      <c r="A690" t="s">
        <v>2484</v>
      </c>
      <c r="B690" t="s">
        <v>3159</v>
      </c>
      <c r="D690" t="b">
        <f>IFERROR(VLOOKUP(B690,PatData!$A$2:$A$2000,1,),"")&lt;&gt;""</f>
        <v>1</v>
      </c>
      <c r="F690" t="b">
        <v>0</v>
      </c>
      <c r="G690" t="b">
        <v>1</v>
      </c>
      <c r="H690" t="b">
        <v>1</v>
      </c>
      <c r="I690" t="b">
        <v>0</v>
      </c>
    </row>
    <row r="691" spans="1:9" x14ac:dyDescent="0.35">
      <c r="A691" t="s">
        <v>2485</v>
      </c>
      <c r="B691" t="s">
        <v>3160</v>
      </c>
      <c r="D691" t="b">
        <f>IFERROR(VLOOKUP(B691,PatData!$A$2:$A$2000,1,),"")&lt;&gt;""</f>
        <v>1</v>
      </c>
      <c r="F691" t="b">
        <v>0</v>
      </c>
      <c r="G691" t="b">
        <v>1</v>
      </c>
      <c r="H691" t="b">
        <v>1</v>
      </c>
      <c r="I691" t="b">
        <v>0</v>
      </c>
    </row>
    <row r="692" spans="1:9" x14ac:dyDescent="0.35">
      <c r="A692" t="s">
        <v>2486</v>
      </c>
      <c r="B692" t="s">
        <v>3161</v>
      </c>
      <c r="D692" t="b">
        <f>IFERROR(VLOOKUP(B692,PatData!$A$2:$A$2000,1,),"")&lt;&gt;""</f>
        <v>1</v>
      </c>
      <c r="F692" t="b">
        <v>0</v>
      </c>
      <c r="G692" t="b">
        <v>1</v>
      </c>
      <c r="H692" t="b">
        <v>1</v>
      </c>
      <c r="I692" t="b">
        <v>0</v>
      </c>
    </row>
    <row r="693" spans="1:9" x14ac:dyDescent="0.35">
      <c r="A693" t="s">
        <v>2487</v>
      </c>
      <c r="B693" t="s">
        <v>3162</v>
      </c>
      <c r="D693" t="b">
        <f>IFERROR(VLOOKUP(B693,PatData!$A$2:$A$2000,1,),"")&lt;&gt;""</f>
        <v>1</v>
      </c>
      <c r="F693" t="b">
        <v>0</v>
      </c>
      <c r="G693" t="b">
        <v>1</v>
      </c>
      <c r="H693" t="b">
        <v>1</v>
      </c>
      <c r="I693" t="b">
        <v>0</v>
      </c>
    </row>
    <row r="694" spans="1:9" x14ac:dyDescent="0.35">
      <c r="A694" t="s">
        <v>2488</v>
      </c>
      <c r="B694" t="s">
        <v>3163</v>
      </c>
      <c r="D694" t="b">
        <f>IFERROR(VLOOKUP(B694,PatData!$A$2:$A$2000,1,),"")&lt;&gt;""</f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x14ac:dyDescent="0.35">
      <c r="A695" t="s">
        <v>2489</v>
      </c>
      <c r="B695" t="s">
        <v>3164</v>
      </c>
      <c r="D695" t="b">
        <f>IFERROR(VLOOKUP(B695,PatData!$A$2:$A$2000,1,),"")&lt;&gt;""</f>
        <v>1</v>
      </c>
      <c r="F695" t="b">
        <v>0</v>
      </c>
      <c r="G695" t="b">
        <v>1</v>
      </c>
      <c r="H695" t="b">
        <v>1</v>
      </c>
      <c r="I695" t="b">
        <v>0</v>
      </c>
    </row>
    <row r="696" spans="1:9" x14ac:dyDescent="0.35">
      <c r="A696" t="s">
        <v>2490</v>
      </c>
      <c r="B696" t="s">
        <v>3165</v>
      </c>
      <c r="D696" t="b">
        <f>IFERROR(VLOOKUP(B696,PatData!$A$2:$A$2000,1,),"")&lt;&gt;""</f>
        <v>1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35">
      <c r="A697" t="s">
        <v>2491</v>
      </c>
      <c r="B697" t="s">
        <v>3166</v>
      </c>
      <c r="D697" t="b">
        <f>IFERROR(VLOOKUP(B697,PatData!$A$2:$A$2000,1,),"")&lt;&gt;""</f>
        <v>1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35">
      <c r="A698" t="s">
        <v>2492</v>
      </c>
      <c r="B698" t="s">
        <v>3167</v>
      </c>
      <c r="D698" t="b">
        <f>IFERROR(VLOOKUP(B698,PatData!$A$2:$A$2000,1,),"")&lt;&gt;""</f>
        <v>1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35">
      <c r="A699" t="s">
        <v>2493</v>
      </c>
      <c r="B699" t="s">
        <v>3168</v>
      </c>
      <c r="D699" t="b">
        <f>IFERROR(VLOOKUP(B699,PatData!$A$2:$A$2000,1,),"")&lt;&gt;""</f>
        <v>1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35">
      <c r="A700" t="s">
        <v>2494</v>
      </c>
      <c r="B700" t="s">
        <v>3169</v>
      </c>
      <c r="D700" t="b">
        <f>IFERROR(VLOOKUP(B700,PatData!$A$2:$A$2000,1,),"")&lt;&gt;""</f>
        <v>1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35">
      <c r="A701" t="s">
        <v>2495</v>
      </c>
      <c r="B701" t="s">
        <v>3170</v>
      </c>
      <c r="D701" t="b">
        <f>IFERROR(VLOOKUP(B701,PatData!$A$2:$A$2000,1,),"")&lt;&gt;""</f>
        <v>1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35">
      <c r="A702" t="s">
        <v>2496</v>
      </c>
      <c r="B702" t="s">
        <v>3171</v>
      </c>
      <c r="D702" t="b">
        <f>IFERROR(VLOOKUP(B702,PatData!$A$2:$A$2000,1,),"")&lt;&gt;""</f>
        <v>1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35">
      <c r="A703" t="s">
        <v>2497</v>
      </c>
      <c r="B703" t="s">
        <v>3172</v>
      </c>
      <c r="D703" t="b">
        <f>IFERROR(VLOOKUP(B703,PatData!$A$2:$A$2000,1,),"")&lt;&gt;""</f>
        <v>1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35">
      <c r="A704" t="s">
        <v>2498</v>
      </c>
      <c r="B704" t="s">
        <v>3173</v>
      </c>
      <c r="D704" t="b">
        <f>IFERROR(VLOOKUP(B704,PatData!$A$2:$A$2000,1,),"")&lt;&gt;""</f>
        <v>1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35">
      <c r="A705" t="s">
        <v>2499</v>
      </c>
      <c r="B705" t="s">
        <v>3174</v>
      </c>
      <c r="D705" t="b">
        <f>IFERROR(VLOOKUP(B705,PatData!$A$2:$A$2000,1,),"")&lt;&gt;""</f>
        <v>1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35">
      <c r="A706" t="s">
        <v>2500</v>
      </c>
      <c r="B706" t="s">
        <v>3175</v>
      </c>
      <c r="D706" t="b">
        <f>IFERROR(VLOOKUP(B706,PatData!$A$2:$A$2000,1,),"")&lt;&gt;""</f>
        <v>1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35">
      <c r="A707" t="s">
        <v>2501</v>
      </c>
      <c r="B707" t="s">
        <v>3176</v>
      </c>
      <c r="D707" t="b">
        <f>IFERROR(VLOOKUP(B707,PatData!$A$2:$A$2000,1,),"")&lt;&gt;""</f>
        <v>1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35">
      <c r="A708" t="s">
        <v>2502</v>
      </c>
      <c r="B708" t="s">
        <v>3177</v>
      </c>
      <c r="D708" t="b">
        <f>IFERROR(VLOOKUP(B708,PatData!$A$2:$A$2000,1,),"")&lt;&gt;""</f>
        <v>1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35">
      <c r="A709" t="s">
        <v>2503</v>
      </c>
      <c r="B709" t="s">
        <v>3178</v>
      </c>
      <c r="D709" t="b">
        <f>IFERROR(VLOOKUP(B709,PatData!$A$2:$A$2000,1,),"")&lt;&gt;""</f>
        <v>1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35">
      <c r="A710" t="s">
        <v>2504</v>
      </c>
      <c r="B710" t="s">
        <v>3179</v>
      </c>
      <c r="D710" t="b">
        <f>IFERROR(VLOOKUP(B710,PatData!$A$2:$A$2000,1,),"")&lt;&gt;""</f>
        <v>1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35">
      <c r="A711" t="s">
        <v>2505</v>
      </c>
      <c r="B711" t="s">
        <v>3180</v>
      </c>
      <c r="D711" t="b">
        <f>IFERROR(VLOOKUP(B711,PatData!$A$2:$A$2000,1,),"")&lt;&gt;""</f>
        <v>1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35">
      <c r="A712" t="s">
        <v>2506</v>
      </c>
      <c r="B712" t="s">
        <v>3181</v>
      </c>
      <c r="D712" t="b">
        <f>IFERROR(VLOOKUP(B712,PatData!$A$2:$A$2000,1,),"")&lt;&gt;""</f>
        <v>1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35">
      <c r="A713" t="s">
        <v>2507</v>
      </c>
      <c r="B713" t="s">
        <v>3182</v>
      </c>
      <c r="D713" t="b">
        <f>IFERROR(VLOOKUP(B713,PatData!$A$2:$A$2000,1,),"")&lt;&gt;""</f>
        <v>1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35">
      <c r="A714" t="s">
        <v>2421</v>
      </c>
      <c r="B714" t="s">
        <v>3096</v>
      </c>
      <c r="D714" t="b">
        <f>IFERROR(VLOOKUP(B714,PatData!$A$2:$A$2000,1,),"")&lt;&gt;""</f>
        <v>1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35">
      <c r="A715" t="s">
        <v>2508</v>
      </c>
      <c r="B715" t="s">
        <v>3183</v>
      </c>
      <c r="D715" t="b">
        <f>IFERROR(VLOOKUP(B715,PatData!$A$2:$A$2000,1,),"")&lt;&gt;""</f>
        <v>1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35">
      <c r="A716" t="s">
        <v>2509</v>
      </c>
      <c r="B716" t="s">
        <v>3184</v>
      </c>
      <c r="D716" t="b">
        <f>IFERROR(VLOOKUP(B716,PatData!$A$2:$A$2000,1,),"")&lt;&gt;""</f>
        <v>1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35">
      <c r="A717" t="s">
        <v>2510</v>
      </c>
      <c r="B717" t="s">
        <v>3185</v>
      </c>
      <c r="D717" t="b">
        <f>IFERROR(VLOOKUP(B717,PatData!$A$2:$A$2000,1,),"")&lt;&gt;""</f>
        <v>1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35">
      <c r="A718" t="s">
        <v>2511</v>
      </c>
      <c r="B718" t="s">
        <v>3186</v>
      </c>
      <c r="D718" t="b">
        <f>IFERROR(VLOOKUP(B718,PatData!$A$2:$A$2000,1,),"")&lt;&gt;""</f>
        <v>1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35">
      <c r="A719" t="s">
        <v>2512</v>
      </c>
      <c r="B719" t="s">
        <v>3187</v>
      </c>
      <c r="D719" t="b">
        <f>IFERROR(VLOOKUP(B719,PatData!$A$2:$A$2000,1,),"")&lt;&gt;""</f>
        <v>1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35">
      <c r="A720" t="s">
        <v>2513</v>
      </c>
      <c r="B720" t="s">
        <v>3188</v>
      </c>
      <c r="D720" t="b">
        <f>IFERROR(VLOOKUP(B720,PatData!$A$2:$A$2000,1,),"")&lt;&gt;""</f>
        <v>1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35">
      <c r="A721" t="s">
        <v>2514</v>
      </c>
      <c r="B721" t="s">
        <v>3189</v>
      </c>
      <c r="D721" t="b">
        <f>IFERROR(VLOOKUP(B721,PatData!$A$2:$A$2000,1,),"")&lt;&gt;""</f>
        <v>1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35">
      <c r="A722" t="s">
        <v>2515</v>
      </c>
      <c r="B722" t="s">
        <v>3190</v>
      </c>
      <c r="D722" t="b">
        <f>IFERROR(VLOOKUP(B722,PatData!$A$2:$A$2000,1,),"")&lt;&gt;""</f>
        <v>1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35">
      <c r="A723" t="s">
        <v>2516</v>
      </c>
      <c r="B723" t="s">
        <v>3191</v>
      </c>
      <c r="D723" t="b">
        <f>IFERROR(VLOOKUP(B723,PatData!$A$2:$A$2000,1,),"")&lt;&gt;""</f>
        <v>1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35">
      <c r="A724" t="s">
        <v>2517</v>
      </c>
      <c r="B724" t="s">
        <v>3192</v>
      </c>
      <c r="D724" t="b">
        <f>IFERROR(VLOOKUP(B724,PatData!$A$2:$A$2000,1,),"")&lt;&gt;""</f>
        <v>1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35">
      <c r="A725" t="s">
        <v>2518</v>
      </c>
      <c r="B725" t="s">
        <v>3193</v>
      </c>
      <c r="D725" t="b">
        <f>IFERROR(VLOOKUP(B725,PatData!$A$2:$A$2000,1,),"")&lt;&gt;""</f>
        <v>1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35">
      <c r="A726" t="s">
        <v>2519</v>
      </c>
      <c r="B726" t="s">
        <v>3194</v>
      </c>
      <c r="D726" t="b">
        <f>IFERROR(VLOOKUP(B726,PatData!$A$2:$A$2000,1,),"")&lt;&gt;""</f>
        <v>1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35">
      <c r="A727" t="s">
        <v>2520</v>
      </c>
      <c r="B727" t="s">
        <v>3195</v>
      </c>
      <c r="D727" t="b">
        <f>IFERROR(VLOOKUP(B727,PatData!$A$2:$A$2000,1,),"")&lt;&gt;""</f>
        <v>1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35">
      <c r="A728" t="s">
        <v>2521</v>
      </c>
      <c r="B728" t="s">
        <v>3196</v>
      </c>
      <c r="D728" t="b">
        <f>IFERROR(VLOOKUP(B728,PatData!$A$2:$A$2000,1,),"")&lt;&gt;""</f>
        <v>1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35">
      <c r="A729" t="s">
        <v>2522</v>
      </c>
      <c r="B729" t="s">
        <v>3197</v>
      </c>
      <c r="D729" t="b">
        <f>IFERROR(VLOOKUP(B729,PatData!$A$2:$A$2000,1,),"")&lt;&gt;""</f>
        <v>1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35">
      <c r="A730" t="s">
        <v>2523</v>
      </c>
      <c r="B730" t="s">
        <v>3198</v>
      </c>
      <c r="D730" t="b">
        <f>IFERROR(VLOOKUP(B730,PatData!$A$2:$A$2000,1,),"")&lt;&gt;""</f>
        <v>1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35">
      <c r="A731" t="s">
        <v>2524</v>
      </c>
      <c r="B731" t="s">
        <v>3199</v>
      </c>
      <c r="D731" t="b">
        <f>IFERROR(VLOOKUP(B731,PatData!$A$2:$A$2000,1,),"")&lt;&gt;""</f>
        <v>1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35">
      <c r="A732" t="s">
        <v>2525</v>
      </c>
      <c r="B732" t="s">
        <v>3200</v>
      </c>
      <c r="D732" t="b">
        <f>IFERROR(VLOOKUP(B732,PatData!$A$2:$A$2000,1,),"")&lt;&gt;""</f>
        <v>1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35">
      <c r="A733" t="s">
        <v>2526</v>
      </c>
      <c r="B733" t="s">
        <v>3201</v>
      </c>
      <c r="D733" t="b">
        <f>IFERROR(VLOOKUP(B733,PatData!$A$2:$A$2000,1,),"")&lt;&gt;""</f>
        <v>1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35">
      <c r="A734" t="s">
        <v>2527</v>
      </c>
      <c r="B734" t="s">
        <v>3202</v>
      </c>
      <c r="D734" t="b">
        <f>IFERROR(VLOOKUP(B734,PatData!$A$2:$A$2000,1,),"")&lt;&gt;""</f>
        <v>1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35">
      <c r="A735" t="s">
        <v>2528</v>
      </c>
      <c r="B735" t="s">
        <v>3203</v>
      </c>
      <c r="D735" t="b">
        <f>IFERROR(VLOOKUP(B735,PatData!$A$2:$A$2000,1,),"")&lt;&gt;""</f>
        <v>1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35">
      <c r="A736" t="s">
        <v>2529</v>
      </c>
      <c r="B736" t="s">
        <v>3204</v>
      </c>
      <c r="D736" t="b">
        <f>IFERROR(VLOOKUP(B736,PatData!$A$2:$A$2000,1,),"")&lt;&gt;""</f>
        <v>1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35">
      <c r="A737" t="s">
        <v>2530</v>
      </c>
      <c r="B737" t="s">
        <v>3205</v>
      </c>
      <c r="D737" t="b">
        <f>IFERROR(VLOOKUP(B737,PatData!$A$2:$A$2000,1,),"")&lt;&gt;""</f>
        <v>1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35">
      <c r="A738" t="s">
        <v>2531</v>
      </c>
      <c r="B738" t="s">
        <v>3206</v>
      </c>
      <c r="D738" t="b">
        <f>IFERROR(VLOOKUP(B738,PatData!$A$2:$A$2000,1,),"")&lt;&gt;""</f>
        <v>1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35">
      <c r="A739" t="s">
        <v>2532</v>
      </c>
      <c r="B739" t="s">
        <v>3207</v>
      </c>
      <c r="D739" t="b">
        <f>IFERROR(VLOOKUP(B739,PatData!$A$2:$A$2000,1,),"")&lt;&gt;""</f>
        <v>1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35">
      <c r="A740" t="s">
        <v>1307</v>
      </c>
      <c r="B740" t="s">
        <v>3208</v>
      </c>
      <c r="D740" t="b">
        <f>IFERROR(VLOOKUP(B740,PatData!$A$2:$A$2000,1,),"")&lt;&gt;""</f>
        <v>1</v>
      </c>
      <c r="E740">
        <v>50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35">
      <c r="A741" t="s">
        <v>2421</v>
      </c>
      <c r="B741" t="s">
        <v>3209</v>
      </c>
      <c r="D741" t="b">
        <f>IFERROR(VLOOKUP(B741,PatData!$A$2:$A$2000,1,),"")&lt;&gt;""</f>
        <v>1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35">
      <c r="A742" t="s">
        <v>1307</v>
      </c>
      <c r="B742" t="s">
        <v>3038</v>
      </c>
      <c r="D742" t="b">
        <f>IFERROR(VLOOKUP(B742,PatData!$A$2:$A$2000,1,),"")&lt;&gt;""</f>
        <v>1</v>
      </c>
      <c r="E742">
        <v>50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35">
      <c r="A743" t="s">
        <v>1310</v>
      </c>
      <c r="B743" t="s">
        <v>4144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35">
      <c r="A744" t="s">
        <v>1312</v>
      </c>
      <c r="B744" t="s">
        <v>4146</v>
      </c>
      <c r="D744" t="b">
        <f>IFERROR(VLOOKUP(B744,PatData!$A$2:$A$2000,1,),"")&lt;&gt;""</f>
        <v>1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35">
      <c r="A745" t="s">
        <v>1318</v>
      </c>
      <c r="B745" t="s">
        <v>4149</v>
      </c>
      <c r="D745" t="b">
        <f>IFERROR(VLOOKUP(B745,PatData!$A$2:$A$2000,1,),"")&lt;&gt;""</f>
        <v>1</v>
      </c>
      <c r="E745">
        <v>1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35">
      <c r="A746" t="s">
        <v>1321</v>
      </c>
      <c r="B746" t="s">
        <v>4154</v>
      </c>
      <c r="D746" t="b">
        <f>IFERROR(VLOOKUP(B746,PatData!$A$2:$A$2000,1,),"")&lt;&gt;""</f>
        <v>1</v>
      </c>
      <c r="E746">
        <v>2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35">
      <c r="A747" t="s">
        <v>1323</v>
      </c>
      <c r="B747" t="s">
        <v>4156</v>
      </c>
      <c r="D747" t="b">
        <f>IFERROR(VLOOKUP(B747,PatData!$A$2:$A$2000,1,),"")&lt;&gt;""</f>
        <v>1</v>
      </c>
      <c r="E747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35">
      <c r="A748" t="s">
        <v>1324</v>
      </c>
      <c r="B748" t="s">
        <v>4157</v>
      </c>
      <c r="D748" t="b">
        <f>IFERROR(VLOOKUP(B748,PatData!$A$2:$A$2000,1,),"")&lt;&gt;""</f>
        <v>1</v>
      </c>
      <c r="E748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35">
      <c r="A749" t="s">
        <v>1809</v>
      </c>
      <c r="B749" t="s">
        <v>4162</v>
      </c>
      <c r="D749" t="b">
        <f>IFERROR(VLOOKUP(B749,PatData!$A$2:$A$2000,1,),"")&lt;&gt;""</f>
        <v>1</v>
      </c>
      <c r="E749">
        <v>2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35">
      <c r="A750" t="s">
        <v>1811</v>
      </c>
      <c r="B750" t="s">
        <v>4164</v>
      </c>
      <c r="D750" t="b">
        <f>IFERROR(VLOOKUP(B750,PatData!$A$2:$A$2000,1,),"")&lt;&gt;""</f>
        <v>1</v>
      </c>
      <c r="E750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35">
      <c r="A751" t="s">
        <v>1812</v>
      </c>
      <c r="B751" t="s">
        <v>4165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35">
      <c r="A752" t="s">
        <v>1815</v>
      </c>
      <c r="B752" t="s">
        <v>4168</v>
      </c>
      <c r="D752" t="b">
        <f>IFERROR(VLOOKUP(B752,PatData!$A$2:$A$2000,1,),"")&lt;&gt;""</f>
        <v>1</v>
      </c>
      <c r="E752">
        <v>5000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35">
      <c r="A753" t="s">
        <v>1817</v>
      </c>
      <c r="B753" t="s">
        <v>4170</v>
      </c>
      <c r="D753" t="b">
        <f>IFERROR(VLOOKUP(B753,PatData!$A$2:$A$2000,1,),"")&lt;&gt;""</f>
        <v>1</v>
      </c>
      <c r="E753">
        <v>5000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35">
      <c r="A754" t="s">
        <v>2976</v>
      </c>
      <c r="B754" t="s">
        <v>4285</v>
      </c>
      <c r="D754" t="b">
        <f>IFERROR(VLOOKUP(B754,PatData!$A$2:$A$2000,1,),"")&lt;&gt;""</f>
        <v>1</v>
      </c>
      <c r="E754">
        <v>1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35">
      <c r="A755" t="s">
        <v>1819</v>
      </c>
      <c r="B755" t="s">
        <v>4172</v>
      </c>
      <c r="D755" t="b">
        <f>IFERROR(VLOOKUP(B755,PatData!$A$2:$A$2000,1,),"")&lt;&gt;""</f>
        <v>1</v>
      </c>
      <c r="E755">
        <v>5000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35">
      <c r="A756" t="s">
        <v>1821</v>
      </c>
      <c r="B756" t="s">
        <v>4174</v>
      </c>
      <c r="D756" t="b">
        <f>IFERROR(VLOOKUP(B756,PatData!$A$2:$A$2000,1,),"")&lt;&gt;""</f>
        <v>1</v>
      </c>
      <c r="E756">
        <v>1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35">
      <c r="A757" t="s">
        <v>1822</v>
      </c>
      <c r="B757" t="s">
        <v>4175</v>
      </c>
      <c r="D757" t="b">
        <f>IFERROR(VLOOKUP(B757,PatData!$A$2:$A$2000,1,),"")&lt;&gt;""</f>
        <v>1</v>
      </c>
      <c r="E757">
        <v>1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35">
      <c r="A758" t="s">
        <v>1823</v>
      </c>
      <c r="B758" t="s">
        <v>4176</v>
      </c>
      <c r="D758" t="b">
        <f>IFERROR(VLOOKUP(B758,PatData!$A$2:$A$2000,1,),"")&lt;&gt;""</f>
        <v>1</v>
      </c>
      <c r="E758">
        <v>1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35">
      <c r="A759" t="s">
        <v>1824</v>
      </c>
      <c r="B759" t="s">
        <v>4177</v>
      </c>
      <c r="D759" t="b">
        <f>IFERROR(VLOOKUP(B759,PatData!$A$2:$A$2000,1,),"")&lt;&gt;""</f>
        <v>1</v>
      </c>
      <c r="E759">
        <v>1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35">
      <c r="A760" t="s">
        <v>1825</v>
      </c>
      <c r="B760" t="s">
        <v>4178</v>
      </c>
      <c r="D760" t="b">
        <f>IFERROR(VLOOKUP(B760,PatData!$A$2:$A$2000,1,),"")&lt;&gt;""</f>
        <v>1</v>
      </c>
      <c r="E760">
        <v>1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35">
      <c r="A761" t="s">
        <v>1826</v>
      </c>
      <c r="B761" t="s">
        <v>4179</v>
      </c>
      <c r="D761" t="b">
        <f>IFERROR(VLOOKUP(B761,PatData!$A$2:$A$2000,1,),"")&lt;&gt;""</f>
        <v>1</v>
      </c>
      <c r="E761">
        <v>1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35">
      <c r="A762" t="s">
        <v>1827</v>
      </c>
      <c r="B762" t="s">
        <v>4180</v>
      </c>
      <c r="D762" t="b">
        <f>IFERROR(VLOOKUP(B762,PatData!$A$2:$A$2000,1,),"")&lt;&gt;""</f>
        <v>1</v>
      </c>
      <c r="E762">
        <v>1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35">
      <c r="A763" t="s">
        <v>1828</v>
      </c>
      <c r="B763" t="s">
        <v>4181</v>
      </c>
      <c r="D763" t="b">
        <f>IFERROR(VLOOKUP(B763,PatData!$A$2:$A$2000,1,),"")&lt;&gt;""</f>
        <v>1</v>
      </c>
      <c r="E763">
        <v>1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35">
      <c r="A764" t="s">
        <v>1829</v>
      </c>
      <c r="B764" t="s">
        <v>4182</v>
      </c>
      <c r="D764" t="b">
        <f>IFERROR(VLOOKUP(B764,PatData!$A$2:$A$2000,1,),"")&lt;&gt;""</f>
        <v>1</v>
      </c>
      <c r="E764">
        <v>1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35">
      <c r="A765" t="s">
        <v>1839</v>
      </c>
      <c r="B765" t="s">
        <v>4192</v>
      </c>
      <c r="D765" t="b">
        <f>IFERROR(VLOOKUP(B765,PatData!$A$2:$A$2000,1,),"")&lt;&gt;""</f>
        <v>1</v>
      </c>
      <c r="E765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35">
      <c r="A766" t="s">
        <v>1840</v>
      </c>
      <c r="B766" t="s">
        <v>4193</v>
      </c>
      <c r="D766" t="b">
        <f>IFERROR(VLOOKUP(B766,PatData!$A$2:$A$2000,1,),"")&lt;&gt;""</f>
        <v>1</v>
      </c>
      <c r="E766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35">
      <c r="A767" t="s">
        <v>1841</v>
      </c>
      <c r="B767" t="s">
        <v>4194</v>
      </c>
      <c r="D767" t="b">
        <f>IFERROR(VLOOKUP(B767,PatData!$A$2:$A$2000,1,),"")&lt;&gt;""</f>
        <v>1</v>
      </c>
      <c r="E767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35">
      <c r="A768" t="s">
        <v>1842</v>
      </c>
      <c r="B768" t="s">
        <v>4195</v>
      </c>
      <c r="D768" t="b">
        <f>IFERROR(VLOOKUP(B768,PatData!$A$2:$A$2000,1,),"")&lt;&gt;""</f>
        <v>1</v>
      </c>
      <c r="E768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35">
      <c r="A769" t="s">
        <v>1843</v>
      </c>
      <c r="B769" t="s">
        <v>4196</v>
      </c>
      <c r="D769" t="b">
        <f>IFERROR(VLOOKUP(B769,PatData!$A$2:$A$2000,1,),"")&lt;&gt;""</f>
        <v>1</v>
      </c>
      <c r="E769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35">
      <c r="A770" t="s">
        <v>1844</v>
      </c>
      <c r="B770" t="s">
        <v>4197</v>
      </c>
      <c r="D770" t="b">
        <f>IFERROR(VLOOKUP(B770,PatData!$A$2:$A$2000,1,),"")&lt;&gt;""</f>
        <v>1</v>
      </c>
      <c r="E770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35">
      <c r="A771" t="s">
        <v>1845</v>
      </c>
      <c r="B771" t="s">
        <v>4198</v>
      </c>
      <c r="D771" t="b">
        <f>IFERROR(VLOOKUP(B771,PatData!$A$2:$A$2000,1,),"")&lt;&gt;""</f>
        <v>1</v>
      </c>
      <c r="E771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35">
      <c r="A772" t="s">
        <v>1846</v>
      </c>
      <c r="B772" t="s">
        <v>4199</v>
      </c>
      <c r="D772" t="b">
        <f>IFERROR(VLOOKUP(B772,PatData!$A$2:$A$2000,1,),"")&lt;&gt;""</f>
        <v>1</v>
      </c>
      <c r="E772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35">
      <c r="A773" t="s">
        <v>1847</v>
      </c>
      <c r="B773" t="s">
        <v>4200</v>
      </c>
      <c r="D773" t="b">
        <f>IFERROR(VLOOKUP(B773,PatData!$A$2:$A$2000,1,),"")&lt;&gt;""</f>
        <v>1</v>
      </c>
      <c r="E773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35">
      <c r="A774" t="s">
        <v>1857</v>
      </c>
      <c r="B774" t="s">
        <v>4210</v>
      </c>
      <c r="D774" t="b">
        <f>IFERROR(VLOOKUP(B774,PatData!$A$2:$A$2000,1,),"")&lt;&gt;""</f>
        <v>1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35">
      <c r="A775" t="s">
        <v>1858</v>
      </c>
      <c r="B775" t="s">
        <v>4211</v>
      </c>
      <c r="D775" t="b">
        <f>IFERROR(VLOOKUP(B775,PatData!$A$2:$A$2000,1,),"")&lt;&gt;""</f>
        <v>1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35">
      <c r="A776" t="s">
        <v>1861</v>
      </c>
      <c r="B776" t="s">
        <v>4214</v>
      </c>
      <c r="D776" t="b">
        <f>IFERROR(VLOOKUP(B776,PatData!$A$2:$A$2000,1,),"")&lt;&gt;""</f>
        <v>1</v>
      </c>
      <c r="E776">
        <v>5000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35">
      <c r="A777" t="s">
        <v>1949</v>
      </c>
      <c r="B777" t="s">
        <v>4217</v>
      </c>
      <c r="D777" t="b">
        <f>IFERROR(VLOOKUP(B777,PatData!$A$2:$A$2000,1,),"")&lt;&gt;""</f>
        <v>1</v>
      </c>
      <c r="E777">
        <v>5000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35">
      <c r="A778" t="s">
        <v>1951</v>
      </c>
      <c r="B778" t="s">
        <v>4219</v>
      </c>
      <c r="D778" t="b">
        <f>IFERROR(VLOOKUP(B778,PatData!$A$2:$A$2000,1,),"")&lt;&gt;""</f>
        <v>1</v>
      </c>
      <c r="E778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35">
      <c r="A779" t="s">
        <v>1952</v>
      </c>
      <c r="B779" t="s">
        <v>4220</v>
      </c>
      <c r="D779" t="b">
        <f>IFERROR(VLOOKUP(B779,PatData!$A$2:$A$2000,1,),"")&lt;&gt;""</f>
        <v>1</v>
      </c>
      <c r="E779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35">
      <c r="A780" t="s">
        <v>1953</v>
      </c>
      <c r="B780" t="s">
        <v>4221</v>
      </c>
      <c r="D780" t="b">
        <f>IFERROR(VLOOKUP(B780,PatData!$A$2:$A$2000,1,),"")&lt;&gt;""</f>
        <v>1</v>
      </c>
      <c r="E780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35">
      <c r="A781" t="s">
        <v>1954</v>
      </c>
      <c r="B781" t="s">
        <v>4222</v>
      </c>
      <c r="D781" t="b">
        <f>IFERROR(VLOOKUP(B781,PatData!$A$2:$A$2000,1,),"")&lt;&gt;""</f>
        <v>1</v>
      </c>
      <c r="E781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35">
      <c r="A782" t="s">
        <v>1955</v>
      </c>
      <c r="B782" t="s">
        <v>4223</v>
      </c>
      <c r="D782" t="b">
        <f>IFERROR(VLOOKUP(B782,PatData!$A$2:$A$2000,1,),"")&lt;&gt;""</f>
        <v>1</v>
      </c>
      <c r="E782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35">
      <c r="A783" t="s">
        <v>1956</v>
      </c>
      <c r="B783" t="s">
        <v>4224</v>
      </c>
      <c r="D783" t="b">
        <f>IFERROR(VLOOKUP(B783,PatData!$A$2:$A$2000,1,),"")&lt;&gt;""</f>
        <v>1</v>
      </c>
      <c r="E783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35">
      <c r="A784" t="s">
        <v>1957</v>
      </c>
      <c r="B784" t="s">
        <v>4225</v>
      </c>
      <c r="D784" t="b">
        <f>IFERROR(VLOOKUP(B784,PatData!$A$2:$A$2000,1,),"")&lt;&gt;""</f>
        <v>1</v>
      </c>
      <c r="E784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35">
      <c r="A785" t="s">
        <v>1958</v>
      </c>
      <c r="B785" t="s">
        <v>4226</v>
      </c>
      <c r="D785" t="b">
        <f>IFERROR(VLOOKUP(B785,PatData!$A$2:$A$2000,1,),"")&lt;&gt;""</f>
        <v>1</v>
      </c>
      <c r="E785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35">
      <c r="A786" t="s">
        <v>1959</v>
      </c>
      <c r="B786" t="s">
        <v>4227</v>
      </c>
      <c r="D786" t="b">
        <f>IFERROR(VLOOKUP(B786,PatData!$A$2:$A$2000,1,),"")&lt;&gt;""</f>
        <v>1</v>
      </c>
      <c r="E786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35">
      <c r="A787" t="s">
        <v>1969</v>
      </c>
      <c r="B787" t="s">
        <v>4240</v>
      </c>
      <c r="D787" t="b">
        <f>IFERROR(VLOOKUP(B787,PatData!$A$2:$A$2000,1,),"")&lt;&gt;""</f>
        <v>1</v>
      </c>
      <c r="E787">
        <v>1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35">
      <c r="A788" t="s">
        <v>1973</v>
      </c>
      <c r="B788" t="s">
        <v>4241</v>
      </c>
      <c r="D788" t="b">
        <f>IFERROR(VLOOKUP(B788,PatData!$A$2:$A$2000,1,),"")&lt;&gt;""</f>
        <v>1</v>
      </c>
      <c r="E788">
        <v>1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35">
      <c r="A789" t="s">
        <v>1974</v>
      </c>
      <c r="B789" t="s">
        <v>4242</v>
      </c>
      <c r="D789" t="b">
        <f>IFERROR(VLOOKUP(B789,PatData!$A$2:$A$2000,1,),"")&lt;&gt;""</f>
        <v>1</v>
      </c>
      <c r="E789">
        <v>1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35">
      <c r="A790" t="s">
        <v>1975</v>
      </c>
      <c r="B790" t="s">
        <v>4243</v>
      </c>
      <c r="D790" t="b">
        <f>IFERROR(VLOOKUP(B790,PatData!$A$2:$A$2000,1,),"")&lt;&gt;""</f>
        <v>1</v>
      </c>
      <c r="E790">
        <v>1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35">
      <c r="A791" t="s">
        <v>1976</v>
      </c>
      <c r="B791" t="s">
        <v>4244</v>
      </c>
      <c r="D791" t="b">
        <f>IFERROR(VLOOKUP(B791,PatData!$A$2:$A$2000,1,),"")&lt;&gt;""</f>
        <v>1</v>
      </c>
      <c r="E791">
        <v>1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35">
      <c r="A792" t="s">
        <v>1977</v>
      </c>
      <c r="B792" t="s">
        <v>4245</v>
      </c>
      <c r="D792" t="b">
        <f>IFERROR(VLOOKUP(B792,PatData!$A$2:$A$2000,1,),"")&lt;&gt;""</f>
        <v>1</v>
      </c>
      <c r="E792">
        <v>1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35">
      <c r="A793" t="s">
        <v>1978</v>
      </c>
      <c r="B793" t="s">
        <v>4246</v>
      </c>
      <c r="D793" t="b">
        <f>IFERROR(VLOOKUP(B793,PatData!$A$2:$A$2000,1,),"")&lt;&gt;""</f>
        <v>1</v>
      </c>
      <c r="E793"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35">
      <c r="A794" t="s">
        <v>1979</v>
      </c>
      <c r="B794" t="s">
        <v>4247</v>
      </c>
      <c r="D794" t="b">
        <f>IFERROR(VLOOKUP(B794,PatData!$A$2:$A$2000,1,),"")&lt;&gt;""</f>
        <v>1</v>
      </c>
      <c r="E794">
        <v>1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35">
      <c r="A795" t="s">
        <v>1980</v>
      </c>
      <c r="B795" t="s">
        <v>4248</v>
      </c>
      <c r="D795" t="b">
        <f>IFERROR(VLOOKUP(B795,PatData!$A$2:$A$2000,1,),"")&lt;&gt;""</f>
        <v>1</v>
      </c>
      <c r="E795"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35">
      <c r="A796" t="s">
        <v>1970</v>
      </c>
      <c r="B796" t="s">
        <v>4237</v>
      </c>
      <c r="D796" t="b">
        <f>IFERROR(VLOOKUP(B796,PatData!$A$2:$A$2000,1,),"")&lt;&gt;""</f>
        <v>1</v>
      </c>
      <c r="E796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35">
      <c r="A797" t="s">
        <v>1971</v>
      </c>
      <c r="B797" t="s">
        <v>4238</v>
      </c>
      <c r="D797" t="b">
        <f>IFERROR(VLOOKUP(B797,PatData!$A$2:$A$2000,1,),"")&lt;&gt;""</f>
        <v>1</v>
      </c>
      <c r="E797">
        <v>0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35">
      <c r="A798" t="s">
        <v>1972</v>
      </c>
      <c r="B798" t="s">
        <v>4239</v>
      </c>
      <c r="D798" t="b">
        <f>IFERROR(VLOOKUP(B798,PatData!$A$2:$A$2000,1,),"")&lt;&gt;""</f>
        <v>1</v>
      </c>
      <c r="E798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35">
      <c r="A799" t="s">
        <v>1993</v>
      </c>
      <c r="B799" t="s">
        <v>4261</v>
      </c>
      <c r="D799" t="b">
        <f>IFERROR(VLOOKUP(B799,PatData!$A$2:$A$2000,1,),"")&lt;&gt;""</f>
        <v>1</v>
      </c>
      <c r="E799" t="b">
        <v>0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35">
      <c r="A800" t="s">
        <v>3054</v>
      </c>
      <c r="B800" t="s">
        <v>4265</v>
      </c>
      <c r="D800" t="b">
        <f>IFERROR(VLOOKUP(B800,PatData!$A$2:$A$2000,1,),"")&lt;&gt;""</f>
        <v>1</v>
      </c>
      <c r="E800">
        <v>3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35">
      <c r="A801" t="s">
        <v>3055</v>
      </c>
      <c r="B801" t="s">
        <v>4266</v>
      </c>
      <c r="D801" t="b">
        <f>IFERROR(VLOOKUP(B801,PatData!$A$2:$A$2000,1,),"")&lt;&gt;""</f>
        <v>1</v>
      </c>
      <c r="E801">
        <v>5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35">
      <c r="A802" t="s">
        <v>3056</v>
      </c>
      <c r="B802" t="s">
        <v>4267</v>
      </c>
      <c r="D802" t="b">
        <f>IFERROR(VLOOKUP(B802,PatData!$A$2:$A$2000,1,),"")&lt;&gt;""</f>
        <v>1</v>
      </c>
      <c r="E802">
        <v>4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35">
      <c r="A803" t="s">
        <v>3057</v>
      </c>
      <c r="B803" t="s">
        <v>4268</v>
      </c>
      <c r="D803" t="b">
        <f>IFERROR(VLOOKUP(B803,PatData!$A$2:$A$2000,1,),"")&lt;&gt;""</f>
        <v>1</v>
      </c>
      <c r="E803">
        <v>6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35">
      <c r="A804" t="s">
        <v>3058</v>
      </c>
      <c r="B804" t="s">
        <v>4269</v>
      </c>
      <c r="D804" t="b">
        <f>IFERROR(VLOOKUP(B804,PatData!$A$2:$A$2000,1,),"")&lt;&gt;""</f>
        <v>1</v>
      </c>
      <c r="E804">
        <v>3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35">
      <c r="A805" t="s">
        <v>3059</v>
      </c>
      <c r="B805" t="s">
        <v>4270</v>
      </c>
      <c r="D805" t="b">
        <f>IFERROR(VLOOKUP(B805,PatData!$A$2:$A$2000,1,),"")&lt;&gt;""</f>
        <v>1</v>
      </c>
      <c r="E805">
        <v>4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35">
      <c r="A806" t="s">
        <v>3060</v>
      </c>
      <c r="B806" t="s">
        <v>4271</v>
      </c>
      <c r="D806" t="b">
        <f>IFERROR(VLOOKUP(B806,PatData!$A$2:$A$2000,1,),"")&lt;&gt;""</f>
        <v>1</v>
      </c>
      <c r="E806">
        <v>5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35">
      <c r="A807" t="s">
        <v>3061</v>
      </c>
      <c r="B807" t="s">
        <v>4272</v>
      </c>
      <c r="D807" t="b">
        <f>IFERROR(VLOOKUP(B807,PatData!$A$2:$A$2000,1,),"")&lt;&gt;""</f>
        <v>1</v>
      </c>
      <c r="E807">
        <v>6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35">
      <c r="A808" t="s">
        <v>3062</v>
      </c>
      <c r="B808" t="s">
        <v>4273</v>
      </c>
      <c r="D808" t="b">
        <f>IFERROR(VLOOKUP(B808,PatData!$A$2:$A$2000,1,),"")&lt;&gt;""</f>
        <v>1</v>
      </c>
      <c r="E808">
        <v>5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35">
      <c r="A809" t="s">
        <v>2284</v>
      </c>
      <c r="B809" t="s">
        <v>4283</v>
      </c>
      <c r="D809" t="b">
        <f>IFERROR(VLOOKUP(B809,PatData!$A$2:$A$2000,1,),"")&lt;&gt;""</f>
        <v>1</v>
      </c>
      <c r="E809">
        <v>5000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35">
      <c r="A810" t="s">
        <v>2286</v>
      </c>
      <c r="B810" t="s">
        <v>4287</v>
      </c>
      <c r="D810" t="b">
        <f>IFERROR(VLOOKUP(B810,PatData!$A$2:$A$2000,1,),"")&lt;&gt;""</f>
        <v>1</v>
      </c>
      <c r="E810">
        <v>5000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35">
      <c r="A811" t="s">
        <v>2288</v>
      </c>
      <c r="B811" t="s">
        <v>4289</v>
      </c>
      <c r="D811" t="b">
        <f>IFERROR(VLOOKUP(B811,PatData!$A$2:$A$2000,1,),"")&lt;&gt;""</f>
        <v>1</v>
      </c>
      <c r="E811">
        <v>5000</v>
      </c>
      <c r="F811" t="b">
        <v>0</v>
      </c>
      <c r="G811" t="b">
        <v>1</v>
      </c>
      <c r="H811" t="b">
        <v>1</v>
      </c>
      <c r="I811" t="b">
        <v>0</v>
      </c>
    </row>
    <row r="812" spans="1:9" x14ac:dyDescent="0.35">
      <c r="A812" t="s">
        <v>2290</v>
      </c>
      <c r="B812" t="s">
        <v>4294</v>
      </c>
      <c r="D812" t="b">
        <f>IFERROR(VLOOKUP(B812,PatData!$A$2:$A$2000,1,),"")&lt;&gt;""</f>
        <v>1</v>
      </c>
      <c r="E812">
        <v>0</v>
      </c>
      <c r="F812" t="b">
        <v>0</v>
      </c>
      <c r="G812" t="b">
        <v>1</v>
      </c>
      <c r="H812" t="b">
        <v>1</v>
      </c>
      <c r="I812" t="b">
        <v>0</v>
      </c>
    </row>
    <row r="813" spans="1:9" x14ac:dyDescent="0.35">
      <c r="A813" t="s">
        <v>2294</v>
      </c>
      <c r="B813" t="s">
        <v>4295</v>
      </c>
      <c r="D813" t="b">
        <f>IFERROR(VLOOKUP(B813,PatData!$A$2:$A$2000,1,),"")&lt;&gt;""</f>
        <v>1</v>
      </c>
      <c r="E813">
        <v>0</v>
      </c>
      <c r="F813" t="b">
        <v>0</v>
      </c>
      <c r="G813" t="b">
        <v>1</v>
      </c>
      <c r="H813" t="b">
        <v>1</v>
      </c>
      <c r="I813" t="b">
        <v>0</v>
      </c>
    </row>
    <row r="814" spans="1:9" x14ac:dyDescent="0.35">
      <c r="A814" t="s">
        <v>2295</v>
      </c>
      <c r="B814" t="s">
        <v>4296</v>
      </c>
      <c r="D814" t="b">
        <f>IFERROR(VLOOKUP(B814,PatData!$A$2:$A$2000,1,),"")&lt;&gt;""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x14ac:dyDescent="0.35">
      <c r="A815" t="s">
        <v>2296</v>
      </c>
      <c r="B815" t="s">
        <v>4297</v>
      </c>
      <c r="D815" t="b">
        <f>IFERROR(VLOOKUP(B815,PatData!$A$2:$A$2000,1,),"")&lt;&gt;""</f>
        <v>1</v>
      </c>
      <c r="E815">
        <v>0</v>
      </c>
      <c r="F815" t="b">
        <v>0</v>
      </c>
      <c r="G815" t="b">
        <v>1</v>
      </c>
      <c r="H815" t="b">
        <v>1</v>
      </c>
      <c r="I815" t="b">
        <v>0</v>
      </c>
    </row>
    <row r="816" spans="1:9" x14ac:dyDescent="0.35">
      <c r="A816" t="s">
        <v>2297</v>
      </c>
      <c r="B816" t="s">
        <v>4298</v>
      </c>
      <c r="D816" t="b">
        <f>IFERROR(VLOOKUP(B816,PatData!$A$2:$A$2000,1,),"")&lt;&gt;""</f>
        <v>1</v>
      </c>
      <c r="E816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x14ac:dyDescent="0.35">
      <c r="A817" t="s">
        <v>2298</v>
      </c>
      <c r="B817" t="s">
        <v>4299</v>
      </c>
      <c r="D817" t="b">
        <f>IFERROR(VLOOKUP(B817,PatData!$A$2:$A$2000,1,),"")&lt;&gt;""</f>
        <v>1</v>
      </c>
      <c r="E817">
        <v>0</v>
      </c>
      <c r="F817" t="b">
        <v>0</v>
      </c>
      <c r="G817" t="b">
        <v>1</v>
      </c>
      <c r="H817" t="b">
        <v>1</v>
      </c>
      <c r="I817" t="b">
        <v>0</v>
      </c>
    </row>
    <row r="818" spans="1:9" x14ac:dyDescent="0.35">
      <c r="A818" t="s">
        <v>2299</v>
      </c>
      <c r="B818" t="s">
        <v>4300</v>
      </c>
      <c r="D818" t="b">
        <f>IFERROR(VLOOKUP(B818,PatData!$A$2:$A$2000,1,),"")&lt;&gt;""</f>
        <v>1</v>
      </c>
      <c r="E818">
        <v>0</v>
      </c>
      <c r="F818" t="b">
        <v>0</v>
      </c>
      <c r="G818" t="b">
        <v>1</v>
      </c>
      <c r="H818" t="b">
        <v>1</v>
      </c>
      <c r="I818" t="b">
        <v>0</v>
      </c>
    </row>
    <row r="819" spans="1:9" x14ac:dyDescent="0.35">
      <c r="A819" t="s">
        <v>2300</v>
      </c>
      <c r="B819" t="s">
        <v>4301</v>
      </c>
      <c r="D819" t="b">
        <f>IFERROR(VLOOKUP(B819,PatData!$A$2:$A$2000,1,),"")&lt;&gt;""</f>
        <v>1</v>
      </c>
      <c r="E819">
        <v>0</v>
      </c>
      <c r="F819" t="b">
        <v>0</v>
      </c>
      <c r="G819" t="b">
        <v>1</v>
      </c>
      <c r="H819" t="b">
        <v>1</v>
      </c>
      <c r="I819" t="b">
        <v>0</v>
      </c>
    </row>
    <row r="820" spans="1:9" x14ac:dyDescent="0.35">
      <c r="A820" t="s">
        <v>2301</v>
      </c>
      <c r="B820" t="s">
        <v>4302</v>
      </c>
      <c r="D820" t="b">
        <f>IFERROR(VLOOKUP(B820,PatData!$A$2:$A$2000,1,),"")&lt;&gt;""</f>
        <v>1</v>
      </c>
      <c r="E820">
        <v>0</v>
      </c>
      <c r="F820" t="b">
        <v>0</v>
      </c>
      <c r="G820" t="b">
        <v>1</v>
      </c>
      <c r="H820" t="b">
        <v>1</v>
      </c>
      <c r="I820" t="b">
        <v>0</v>
      </c>
    </row>
    <row r="821" spans="1:9" x14ac:dyDescent="0.35">
      <c r="A821" t="s">
        <v>2291</v>
      </c>
      <c r="B821" t="s">
        <v>4291</v>
      </c>
      <c r="D821" t="b">
        <f>IFERROR(VLOOKUP(B821,PatData!$A$2:$A$2000,1,),"")&lt;&gt;""</f>
        <v>1</v>
      </c>
      <c r="E821">
        <v>0</v>
      </c>
      <c r="F821" t="b">
        <v>0</v>
      </c>
      <c r="G821" t="b">
        <v>1</v>
      </c>
      <c r="H821" t="b">
        <v>1</v>
      </c>
      <c r="I821" t="b">
        <v>0</v>
      </c>
    </row>
    <row r="822" spans="1:9" x14ac:dyDescent="0.35">
      <c r="A822" t="s">
        <v>2292</v>
      </c>
      <c r="B822" t="s">
        <v>4292</v>
      </c>
      <c r="D822" t="b">
        <f>IFERROR(VLOOKUP(B822,PatData!$A$2:$A$2000,1,),"")&lt;&gt;""</f>
        <v>1</v>
      </c>
      <c r="E822">
        <v>0</v>
      </c>
      <c r="F822" t="b">
        <v>0</v>
      </c>
      <c r="G822" t="b">
        <v>1</v>
      </c>
      <c r="H822" t="b">
        <v>1</v>
      </c>
      <c r="I822" t="b">
        <v>0</v>
      </c>
    </row>
    <row r="823" spans="1:9" x14ac:dyDescent="0.35">
      <c r="A823" t="s">
        <v>2293</v>
      </c>
      <c r="B823" t="s">
        <v>4293</v>
      </c>
      <c r="D823" t="b">
        <f>IFERROR(VLOOKUP(B823,PatData!$A$2:$A$2000,1,),"")&lt;&gt;""</f>
        <v>1</v>
      </c>
      <c r="E823">
        <v>0</v>
      </c>
      <c r="F823" t="b">
        <v>0</v>
      </c>
      <c r="G823" t="b">
        <v>1</v>
      </c>
      <c r="H823" t="b">
        <v>1</v>
      </c>
      <c r="I823" t="b">
        <v>0</v>
      </c>
    </row>
    <row r="824" spans="1:9" x14ac:dyDescent="0.35">
      <c r="A824" t="s">
        <v>1839</v>
      </c>
      <c r="B824" t="s">
        <v>4315</v>
      </c>
      <c r="D824" t="b">
        <f>IFERROR(VLOOKUP(B824,PatData!$A$2:$A$2000,1,),"")&lt;&gt;""</f>
        <v>1</v>
      </c>
      <c r="E824">
        <v>0</v>
      </c>
      <c r="F824" t="b">
        <v>0</v>
      </c>
      <c r="G824" t="b">
        <v>1</v>
      </c>
      <c r="H824" t="b">
        <v>1</v>
      </c>
      <c r="I824" t="b">
        <v>0</v>
      </c>
    </row>
    <row r="825" spans="1:9" x14ac:dyDescent="0.35">
      <c r="A825" t="s">
        <v>1840</v>
      </c>
      <c r="B825" t="s">
        <v>4316</v>
      </c>
      <c r="D825" t="b">
        <f>IFERROR(VLOOKUP(B825,PatData!$A$2:$A$2000,1,),"")&lt;&gt;""</f>
        <v>1</v>
      </c>
      <c r="E825">
        <v>0</v>
      </c>
      <c r="F825" t="b">
        <v>0</v>
      </c>
      <c r="G825" t="b">
        <v>1</v>
      </c>
      <c r="H825" t="b">
        <v>1</v>
      </c>
      <c r="I825" t="b">
        <v>0</v>
      </c>
    </row>
    <row r="826" spans="1:9" x14ac:dyDescent="0.35">
      <c r="A826" t="s">
        <v>1841</v>
      </c>
      <c r="B826" t="s">
        <v>4317</v>
      </c>
      <c r="D826" t="b">
        <f>IFERROR(VLOOKUP(B826,PatData!$A$2:$A$2000,1,),"")&lt;&gt;""</f>
        <v>1</v>
      </c>
      <c r="E826">
        <v>0</v>
      </c>
      <c r="F826" t="b">
        <v>0</v>
      </c>
      <c r="G826" t="b">
        <v>1</v>
      </c>
      <c r="H826" t="b">
        <v>1</v>
      </c>
      <c r="I826" t="b">
        <v>0</v>
      </c>
    </row>
    <row r="827" spans="1:9" x14ac:dyDescent="0.35">
      <c r="A827" t="s">
        <v>1842</v>
      </c>
      <c r="B827" t="s">
        <v>4318</v>
      </c>
      <c r="D827" t="b">
        <f>IFERROR(VLOOKUP(B827,PatData!$A$2:$A$2000,1,),"")&lt;&gt;""</f>
        <v>1</v>
      </c>
      <c r="E827">
        <v>0</v>
      </c>
      <c r="F827" t="b">
        <v>0</v>
      </c>
      <c r="G827" t="b">
        <v>1</v>
      </c>
      <c r="H827" t="b">
        <v>1</v>
      </c>
      <c r="I827" t="b">
        <v>0</v>
      </c>
    </row>
    <row r="828" spans="1:9" x14ac:dyDescent="0.35">
      <c r="A828" t="s">
        <v>1843</v>
      </c>
      <c r="B828" t="s">
        <v>4319</v>
      </c>
      <c r="D828" t="b">
        <f>IFERROR(VLOOKUP(B828,PatData!$A$2:$A$2000,1,),"")&lt;&gt;""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x14ac:dyDescent="0.35">
      <c r="A829" t="s">
        <v>1844</v>
      </c>
      <c r="B829" t="s">
        <v>4320</v>
      </c>
      <c r="D829" t="b">
        <f>IFERROR(VLOOKUP(B829,PatData!$A$2:$A$2000,1,),"")&lt;&gt;""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x14ac:dyDescent="0.35">
      <c r="A830" t="s">
        <v>1845</v>
      </c>
      <c r="B830" t="s">
        <v>4321</v>
      </c>
      <c r="D830" t="b">
        <f>IFERROR(VLOOKUP(B830,PatData!$A$2:$A$2000,1,),"")&lt;&gt;""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x14ac:dyDescent="0.35">
      <c r="A831" t="s">
        <v>1846</v>
      </c>
      <c r="B831" t="s">
        <v>4322</v>
      </c>
      <c r="D831" t="b">
        <f>IFERROR(VLOOKUP(B831,PatData!$A$2:$A$2000,1,),"")&lt;&gt;""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x14ac:dyDescent="0.35">
      <c r="A832" t="s">
        <v>1847</v>
      </c>
      <c r="B832" t="s">
        <v>4323</v>
      </c>
      <c r="D832" t="b">
        <f>IFERROR(VLOOKUP(B832,PatData!$A$2:$A$2000,1,),"")&lt;&gt;""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x14ac:dyDescent="0.35">
      <c r="A833" t="s">
        <v>2314</v>
      </c>
      <c r="B833" t="s">
        <v>4324</v>
      </c>
      <c r="D833" t="b">
        <f>IFERROR(VLOOKUP(B833,PatData!$A$2:$A$2000,1,),"")&lt;&gt;""</f>
        <v>1</v>
      </c>
      <c r="E833" t="s">
        <v>690</v>
      </c>
      <c r="F833" t="b">
        <v>0</v>
      </c>
      <c r="G833" t="b">
        <v>1</v>
      </c>
      <c r="H833" t="b">
        <v>1</v>
      </c>
      <c r="I833" t="b">
        <v>0</v>
      </c>
    </row>
    <row r="834" spans="1:9" x14ac:dyDescent="0.35">
      <c r="A834" t="s">
        <v>2316</v>
      </c>
      <c r="B834" t="s">
        <v>4326</v>
      </c>
      <c r="D834" t="b">
        <f>IFERROR(VLOOKUP(B834,PatData!$A$2:$A$2000,1,),"")&lt;&gt;""</f>
        <v>1</v>
      </c>
      <c r="E834">
        <v>2</v>
      </c>
      <c r="F834" t="b">
        <v>0</v>
      </c>
      <c r="G834" t="b">
        <v>1</v>
      </c>
      <c r="H834" t="b">
        <v>1</v>
      </c>
      <c r="I834" t="b">
        <v>0</v>
      </c>
    </row>
    <row r="835" spans="1:9" x14ac:dyDescent="0.35">
      <c r="A835" t="s">
        <v>2317</v>
      </c>
      <c r="B835" t="s">
        <v>4327</v>
      </c>
      <c r="D835" t="b">
        <f>IFERROR(VLOOKUP(B835,PatData!$A$2:$A$2000,1,),"")&lt;&gt;""</f>
        <v>1</v>
      </c>
      <c r="E835">
        <v>2</v>
      </c>
      <c r="F835" t="b">
        <v>0</v>
      </c>
      <c r="G835" t="b">
        <v>1</v>
      </c>
      <c r="H835" t="b">
        <v>1</v>
      </c>
      <c r="I835" t="b">
        <v>0</v>
      </c>
    </row>
    <row r="836" spans="1:9" x14ac:dyDescent="0.35">
      <c r="A836" t="s">
        <v>2318</v>
      </c>
      <c r="B836" t="s">
        <v>4328</v>
      </c>
      <c r="D836" t="b">
        <f>IFERROR(VLOOKUP(B836,PatData!$A$2:$A$2000,1,),"")&lt;&gt;""</f>
        <v>1</v>
      </c>
      <c r="E836">
        <v>5</v>
      </c>
      <c r="F836" t="b">
        <v>0</v>
      </c>
      <c r="G836" t="b">
        <v>1</v>
      </c>
      <c r="H836" t="b">
        <v>1</v>
      </c>
      <c r="I836" t="b">
        <v>0</v>
      </c>
    </row>
    <row r="837" spans="1:9" x14ac:dyDescent="0.35">
      <c r="A837" t="s">
        <v>2319</v>
      </c>
      <c r="B837" t="s">
        <v>4329</v>
      </c>
      <c r="D837" t="b">
        <f>IFERROR(VLOOKUP(B837,PatData!$A$2:$A$2000,1,),"")&lt;&gt;""</f>
        <v>1</v>
      </c>
      <c r="E837">
        <v>6</v>
      </c>
      <c r="F837" t="b">
        <v>0</v>
      </c>
      <c r="G837" t="b">
        <v>1</v>
      </c>
      <c r="H837" t="b">
        <v>1</v>
      </c>
      <c r="I837" t="b">
        <v>0</v>
      </c>
    </row>
    <row r="838" spans="1:9" x14ac:dyDescent="0.35">
      <c r="A838" t="s">
        <v>2320</v>
      </c>
      <c r="B838" t="s">
        <v>4330</v>
      </c>
      <c r="D838" t="b">
        <f>IFERROR(VLOOKUP(B838,PatData!$A$2:$A$2000,1,),"")&lt;&gt;""</f>
        <v>1</v>
      </c>
      <c r="E838">
        <v>2</v>
      </c>
      <c r="F838" t="b">
        <v>0</v>
      </c>
      <c r="G838" t="b">
        <v>1</v>
      </c>
      <c r="H838" t="b">
        <v>1</v>
      </c>
      <c r="I838" t="b">
        <v>0</v>
      </c>
    </row>
    <row r="839" spans="1:9" x14ac:dyDescent="0.35">
      <c r="A839" t="s">
        <v>2321</v>
      </c>
      <c r="B839" t="s">
        <v>4331</v>
      </c>
      <c r="D839" t="b">
        <f>IFERROR(VLOOKUP(B839,PatData!$A$2:$A$2000,1,),"")&lt;&gt;""</f>
        <v>1</v>
      </c>
      <c r="E839">
        <v>2</v>
      </c>
      <c r="F839" t="b">
        <v>0</v>
      </c>
      <c r="G839" t="b">
        <v>1</v>
      </c>
      <c r="H839" t="b">
        <v>1</v>
      </c>
      <c r="I839" t="b">
        <v>0</v>
      </c>
    </row>
    <row r="840" spans="1:9" x14ac:dyDescent="0.35">
      <c r="A840" t="s">
        <v>2322</v>
      </c>
      <c r="B840" t="s">
        <v>4332</v>
      </c>
      <c r="D840" t="b">
        <f>IFERROR(VLOOKUP(B840,PatData!$A$2:$A$2000,1,),"")&lt;&gt;""</f>
        <v>1</v>
      </c>
      <c r="E840">
        <v>3</v>
      </c>
      <c r="F840" t="b">
        <v>0</v>
      </c>
      <c r="G840" t="b">
        <v>1</v>
      </c>
      <c r="H840" t="b">
        <v>1</v>
      </c>
      <c r="I840" t="b">
        <v>0</v>
      </c>
    </row>
    <row r="841" spans="1:9" x14ac:dyDescent="0.35">
      <c r="A841" t="s">
        <v>2323</v>
      </c>
      <c r="B841" t="s">
        <v>4333</v>
      </c>
      <c r="D841" t="b">
        <f>IFERROR(VLOOKUP(B841,PatData!$A$2:$A$2000,1,),"")&lt;&gt;""</f>
        <v>1</v>
      </c>
      <c r="E841">
        <v>4</v>
      </c>
      <c r="F841" t="b">
        <v>0</v>
      </c>
      <c r="G841" t="b">
        <v>1</v>
      </c>
      <c r="H841" t="b">
        <v>1</v>
      </c>
      <c r="I841" t="b">
        <v>0</v>
      </c>
    </row>
    <row r="842" spans="1:9" x14ac:dyDescent="0.35">
      <c r="A842" t="s">
        <v>2324</v>
      </c>
      <c r="B842" t="s">
        <v>4334</v>
      </c>
      <c r="D842" t="b">
        <f>IFERROR(VLOOKUP(B842,PatData!$A$2:$A$2000,1,),"")&lt;&gt;""</f>
        <v>1</v>
      </c>
      <c r="E842">
        <v>5</v>
      </c>
      <c r="F842" t="b">
        <v>0</v>
      </c>
      <c r="G842" t="b">
        <v>1</v>
      </c>
      <c r="H842" t="b">
        <v>1</v>
      </c>
      <c r="I842" t="b">
        <v>0</v>
      </c>
    </row>
    <row r="843" spans="1:9" x14ac:dyDescent="0.35">
      <c r="A843" t="s">
        <v>1314</v>
      </c>
      <c r="B843" t="s">
        <v>4344</v>
      </c>
      <c r="D843" t="b">
        <f>IFERROR(VLOOKUP(B843,PatData!$A$2:$A$2000,1,),"")&lt;&gt;""</f>
        <v>1</v>
      </c>
      <c r="E843">
        <v>5000</v>
      </c>
      <c r="F843" t="b">
        <v>0</v>
      </c>
      <c r="G843" t="b">
        <v>1</v>
      </c>
      <c r="H843" t="b">
        <v>1</v>
      </c>
      <c r="I843" t="b">
        <v>0</v>
      </c>
    </row>
    <row r="844" spans="1:9" x14ac:dyDescent="0.35">
      <c r="A844" t="s">
        <v>1863</v>
      </c>
      <c r="B844" t="s">
        <v>4345</v>
      </c>
      <c r="D844" t="b">
        <f>IFERROR(VLOOKUP(B844,PatData!$A$2:$A$2000,1,),"")&lt;&gt;""</f>
        <v>1</v>
      </c>
      <c r="E844">
        <v>5000</v>
      </c>
      <c r="F844" t="b">
        <v>0</v>
      </c>
      <c r="G844" t="b">
        <v>1</v>
      </c>
      <c r="H844" t="b">
        <v>1</v>
      </c>
      <c r="I844" t="b">
        <v>0</v>
      </c>
    </row>
    <row r="845" spans="1:9" x14ac:dyDescent="0.35">
      <c r="A845" t="s">
        <v>3040</v>
      </c>
      <c r="B845" t="s">
        <v>4116</v>
      </c>
      <c r="D845" t="b">
        <f>IFERROR(VLOOKUP(B845,PatData!$A$2:$A$2000,1,),"")&lt;&gt;""</f>
        <v>1</v>
      </c>
      <c r="E845">
        <v>2</v>
      </c>
      <c r="F845" t="b">
        <v>0</v>
      </c>
      <c r="G845" t="b">
        <v>1</v>
      </c>
      <c r="H845" t="b">
        <v>1</v>
      </c>
      <c r="I845" t="b">
        <v>0</v>
      </c>
    </row>
    <row r="846" spans="1:9" x14ac:dyDescent="0.35">
      <c r="A846" t="s">
        <v>3041</v>
      </c>
      <c r="B846" t="s">
        <v>4117</v>
      </c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x14ac:dyDescent="0.35">
      <c r="A847" t="s">
        <v>3046</v>
      </c>
      <c r="B847" t="s">
        <v>4122</v>
      </c>
      <c r="D847" t="b">
        <f>IFERROR(VLOOKUP(B847,PatData!$A$2:$A$2000,1,),"")&lt;&gt;""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x14ac:dyDescent="0.35">
      <c r="A848" t="s">
        <v>3047</v>
      </c>
      <c r="B848" t="s">
        <v>4123</v>
      </c>
      <c r="D848" t="b">
        <f>IFERROR(VLOOKUP(B848,PatData!$A$2:$A$2000,1,),"")&lt;&gt;""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x14ac:dyDescent="0.35">
      <c r="A849" t="s">
        <v>3048</v>
      </c>
      <c r="B849" t="s">
        <v>4124</v>
      </c>
      <c r="D849" t="b">
        <f>IFERROR(VLOOKUP(B849,PatData!$A$2:$A$2000,1,),"")&lt;&gt;""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x14ac:dyDescent="0.35">
      <c r="A850" t="s">
        <v>3049</v>
      </c>
      <c r="B850" t="s">
        <v>4125</v>
      </c>
      <c r="D850" t="b">
        <f>IFERROR(VLOOKUP(B850,PatData!$A$2:$A$2000,1,),"")&lt;&gt;""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x14ac:dyDescent="0.35">
      <c r="A851" t="s">
        <v>3050</v>
      </c>
      <c r="B851" t="s">
        <v>4126</v>
      </c>
      <c r="D851" t="b">
        <f>IFERROR(VLOOKUP(B851,PatData!$A$2:$A$2000,1,),"")&lt;&gt;""</f>
        <v>1</v>
      </c>
      <c r="E851">
        <v>0</v>
      </c>
      <c r="F851" t="b">
        <v>0</v>
      </c>
      <c r="G851" t="b">
        <v>1</v>
      </c>
      <c r="H851" t="b">
        <v>1</v>
      </c>
      <c r="I851" t="b">
        <v>0</v>
      </c>
    </row>
    <row r="852" spans="1:9" x14ac:dyDescent="0.35">
      <c r="A852" t="s">
        <v>3051</v>
      </c>
      <c r="B852" t="s">
        <v>4127</v>
      </c>
      <c r="D852" t="b">
        <f>IFERROR(VLOOKUP(B852,PatData!$A$2:$A$2000,1,),"")&lt;&gt;""</f>
        <v>1</v>
      </c>
      <c r="E852">
        <v>0</v>
      </c>
      <c r="F852" t="b">
        <v>0</v>
      </c>
      <c r="G852" t="b">
        <v>1</v>
      </c>
      <c r="H852" t="b">
        <v>1</v>
      </c>
      <c r="I852" t="b">
        <v>0</v>
      </c>
    </row>
    <row r="853" spans="1:9" x14ac:dyDescent="0.35">
      <c r="A853" t="s">
        <v>3052</v>
      </c>
      <c r="B853" t="s">
        <v>4128</v>
      </c>
      <c r="D853" t="b">
        <f>IFERROR(VLOOKUP(B853,PatData!$A$2:$A$2000,1,),"")&lt;&gt;""</f>
        <v>1</v>
      </c>
      <c r="E853">
        <v>0</v>
      </c>
      <c r="F853" t="b">
        <v>0</v>
      </c>
      <c r="G853" t="b">
        <v>1</v>
      </c>
      <c r="H853" t="b">
        <v>1</v>
      </c>
      <c r="I853" t="b">
        <v>0</v>
      </c>
    </row>
    <row r="854" spans="1:9" x14ac:dyDescent="0.35">
      <c r="A854" t="s">
        <v>3053</v>
      </c>
      <c r="B854" t="s">
        <v>4129</v>
      </c>
      <c r="D854" t="b">
        <f>IFERROR(VLOOKUP(B854,PatData!$A$2:$A$2000,1,),"")&lt;&gt;""</f>
        <v>1</v>
      </c>
      <c r="E854">
        <v>0</v>
      </c>
      <c r="F854" t="b">
        <v>0</v>
      </c>
      <c r="G854" t="b">
        <v>1</v>
      </c>
      <c r="H854" t="b">
        <v>1</v>
      </c>
      <c r="I854" t="b">
        <v>0</v>
      </c>
    </row>
    <row r="855" spans="1:9" x14ac:dyDescent="0.35">
      <c r="A855" t="s">
        <v>3042</v>
      </c>
      <c r="B855" t="s">
        <v>4118</v>
      </c>
      <c r="D855" t="b">
        <f>IFERROR(VLOOKUP(B855,PatData!$A$2:$A$2000,1,),"")&lt;&gt;""</f>
        <v>1</v>
      </c>
      <c r="E855" t="b">
        <v>0</v>
      </c>
      <c r="F855" t="b">
        <v>0</v>
      </c>
      <c r="G855" t="b">
        <v>1</v>
      </c>
      <c r="H855" t="b">
        <v>1</v>
      </c>
      <c r="I855" t="b">
        <v>0</v>
      </c>
    </row>
    <row r="856" spans="1:9" x14ac:dyDescent="0.35">
      <c r="A856" t="s">
        <v>3043</v>
      </c>
      <c r="B856" t="s">
        <v>4119</v>
      </c>
      <c r="D856" t="b">
        <f>IFERROR(VLOOKUP(B856,PatData!$A$2:$A$2000,1,),"")&lt;&gt;""</f>
        <v>1</v>
      </c>
      <c r="E856" t="b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x14ac:dyDescent="0.35">
      <c r="A857" t="s">
        <v>3044</v>
      </c>
      <c r="B857" t="s">
        <v>4120</v>
      </c>
      <c r="D857" t="b">
        <f>IFERROR(VLOOKUP(B857,PatData!$A$2:$A$2000,1,),"")&lt;&gt;""</f>
        <v>1</v>
      </c>
      <c r="E857" t="b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x14ac:dyDescent="0.35">
      <c r="A858" t="s">
        <v>3045</v>
      </c>
      <c r="B858" t="s">
        <v>4121</v>
      </c>
      <c r="D858" t="b">
        <f>IFERROR(VLOOKUP(B858,PatData!$A$2:$A$2000,1,),"")&lt;&gt;""</f>
        <v>1</v>
      </c>
      <c r="E858" t="b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x14ac:dyDescent="0.35">
      <c r="A859" t="s">
        <v>2334</v>
      </c>
      <c r="B859" t="s">
        <v>4346</v>
      </c>
      <c r="D859" t="b">
        <f>IFERROR(VLOOKUP(B859,PatData!$A$2:$A$2000,1,),"")&lt;&gt;""</f>
        <v>1</v>
      </c>
      <c r="E859">
        <v>7</v>
      </c>
      <c r="F859" t="b">
        <v>0</v>
      </c>
      <c r="G859" t="b">
        <v>1</v>
      </c>
      <c r="H859" t="b">
        <v>1</v>
      </c>
      <c r="I859" t="b">
        <v>0</v>
      </c>
    </row>
    <row r="860" spans="1:9" x14ac:dyDescent="0.35">
      <c r="A860" t="s">
        <v>2617</v>
      </c>
      <c r="B860" t="s">
        <v>4350</v>
      </c>
      <c r="D860" t="b">
        <f>IFERROR(VLOOKUP(B860,PatData!$A$2:$A$2000,1,),"")&lt;&gt;""</f>
        <v>1</v>
      </c>
      <c r="F860" t="b">
        <v>0</v>
      </c>
      <c r="G860" t="b">
        <v>1</v>
      </c>
      <c r="H860" t="b">
        <v>1</v>
      </c>
      <c r="I860" t="b">
        <v>0</v>
      </c>
    </row>
    <row r="861" spans="1:9" x14ac:dyDescent="0.35">
      <c r="A861" t="s">
        <v>2628</v>
      </c>
      <c r="B861" t="s">
        <v>4351</v>
      </c>
      <c r="D861" t="b">
        <f>IFERROR(VLOOKUP(B861,PatData!$A$2:$A$2000,1,),"")&lt;&gt;""</f>
        <v>1</v>
      </c>
      <c r="F861" t="b">
        <v>0</v>
      </c>
      <c r="G861" t="b">
        <v>1</v>
      </c>
      <c r="H861" t="b">
        <v>1</v>
      </c>
      <c r="I861" t="b">
        <v>0</v>
      </c>
    </row>
    <row r="862" spans="1:9" x14ac:dyDescent="0.35">
      <c r="A862" t="s">
        <v>2639</v>
      </c>
      <c r="B862" t="s">
        <v>4352</v>
      </c>
      <c r="D862" t="b">
        <f>IFERROR(VLOOKUP(B862,PatData!$A$2:$A$2000,1,),"")&lt;&gt;""</f>
        <v>1</v>
      </c>
      <c r="F862" t="b">
        <v>0</v>
      </c>
      <c r="G862" t="b">
        <v>1</v>
      </c>
      <c r="H862" t="b">
        <v>1</v>
      </c>
      <c r="I862" t="b">
        <v>0</v>
      </c>
    </row>
    <row r="863" spans="1:9" x14ac:dyDescent="0.35">
      <c r="A863" t="s">
        <v>2642</v>
      </c>
      <c r="B863" t="s">
        <v>4353</v>
      </c>
      <c r="D863" t="b">
        <f>IFERROR(VLOOKUP(B863,PatData!$A$2:$A$2000,1,),"")&lt;&gt;""</f>
        <v>1</v>
      </c>
      <c r="F863" t="b">
        <v>0</v>
      </c>
      <c r="G863" t="b">
        <v>1</v>
      </c>
      <c r="H863" t="b">
        <v>1</v>
      </c>
      <c r="I863" t="b">
        <v>0</v>
      </c>
    </row>
    <row r="864" spans="1:9" x14ac:dyDescent="0.35">
      <c r="A864" t="s">
        <v>2643</v>
      </c>
      <c r="B864" t="s">
        <v>4354</v>
      </c>
      <c r="D864" t="b">
        <f>IFERROR(VLOOKUP(B864,PatData!$A$2:$A$2000,1,),"")&lt;&gt;""</f>
        <v>1</v>
      </c>
      <c r="F864" t="b">
        <v>0</v>
      </c>
      <c r="G864" t="b">
        <v>1</v>
      </c>
      <c r="H864" t="b">
        <v>1</v>
      </c>
      <c r="I864" t="b">
        <v>0</v>
      </c>
    </row>
    <row r="865" spans="1:9" x14ac:dyDescent="0.35">
      <c r="A865" t="s">
        <v>2644</v>
      </c>
      <c r="B865" t="s">
        <v>4355</v>
      </c>
      <c r="D865" t="b">
        <f>IFERROR(VLOOKUP(B865,PatData!$A$2:$A$2000,1,),"")&lt;&gt;""</f>
        <v>1</v>
      </c>
      <c r="F865" t="b">
        <v>0</v>
      </c>
      <c r="G865" t="b">
        <v>1</v>
      </c>
      <c r="H865" t="b">
        <v>1</v>
      </c>
      <c r="I865" t="b">
        <v>0</v>
      </c>
    </row>
    <row r="866" spans="1:9" x14ac:dyDescent="0.35">
      <c r="A866" t="s">
        <v>2645</v>
      </c>
      <c r="B866" t="s">
        <v>4356</v>
      </c>
      <c r="D866" t="b">
        <f>IFERROR(VLOOKUP(B866,PatData!$A$2:$A$2000,1,),"")&lt;&gt;""</f>
        <v>1</v>
      </c>
      <c r="F866" t="b">
        <v>0</v>
      </c>
      <c r="G866" t="b">
        <v>1</v>
      </c>
      <c r="H866" t="b">
        <v>1</v>
      </c>
      <c r="I866" t="b">
        <v>0</v>
      </c>
    </row>
    <row r="867" spans="1:9" x14ac:dyDescent="0.35">
      <c r="A867" t="s">
        <v>2646</v>
      </c>
      <c r="B867" t="s">
        <v>4357</v>
      </c>
      <c r="D867" t="b">
        <f>IFERROR(VLOOKUP(B867,PatData!$A$2:$A$2000,1,),"")&lt;&gt;""</f>
        <v>1</v>
      </c>
      <c r="F867" t="b">
        <v>0</v>
      </c>
      <c r="G867" t="b">
        <v>1</v>
      </c>
      <c r="H867" t="b">
        <v>1</v>
      </c>
      <c r="I867" t="b">
        <v>0</v>
      </c>
    </row>
    <row r="868" spans="1:9" x14ac:dyDescent="0.35">
      <c r="A868" t="s">
        <v>2647</v>
      </c>
      <c r="B868" t="s">
        <v>4358</v>
      </c>
      <c r="D868" t="b">
        <f>IFERROR(VLOOKUP(B868,PatData!$A$2:$A$2000,1,),"")&lt;&gt;""</f>
        <v>1</v>
      </c>
      <c r="F868" t="b">
        <v>0</v>
      </c>
      <c r="G868" t="b">
        <v>1</v>
      </c>
      <c r="H868" t="b">
        <v>1</v>
      </c>
      <c r="I868" t="b">
        <v>0</v>
      </c>
    </row>
    <row r="869" spans="1:9" x14ac:dyDescent="0.35">
      <c r="A869" t="s">
        <v>2618</v>
      </c>
      <c r="B869" t="s">
        <v>4359</v>
      </c>
      <c r="D869" t="b">
        <f>IFERROR(VLOOKUP(B869,PatData!$A$2:$A$2000,1,),"")&lt;&gt;""</f>
        <v>1</v>
      </c>
      <c r="F869" t="b">
        <v>0</v>
      </c>
      <c r="G869" t="b">
        <v>1</v>
      </c>
      <c r="H869" t="b">
        <v>1</v>
      </c>
      <c r="I869" t="b">
        <v>0</v>
      </c>
    </row>
    <row r="870" spans="1:9" x14ac:dyDescent="0.35">
      <c r="A870" t="s">
        <v>2619</v>
      </c>
      <c r="B870" t="s">
        <v>4360</v>
      </c>
      <c r="D870" t="b">
        <f>IFERROR(VLOOKUP(B870,PatData!$A$2:$A$2000,1,),"")&lt;&gt;""</f>
        <v>1</v>
      </c>
      <c r="F870" t="b">
        <v>0</v>
      </c>
      <c r="G870" t="b">
        <v>1</v>
      </c>
      <c r="H870" t="b">
        <v>1</v>
      </c>
      <c r="I870" t="b">
        <v>0</v>
      </c>
    </row>
    <row r="871" spans="1:9" x14ac:dyDescent="0.35">
      <c r="A871" t="s">
        <v>2620</v>
      </c>
      <c r="B871" t="s">
        <v>4361</v>
      </c>
      <c r="D871" t="b">
        <f>IFERROR(VLOOKUP(B871,PatData!$A$2:$A$2000,1,),"")&lt;&gt;""</f>
        <v>1</v>
      </c>
      <c r="F871" t="b">
        <v>0</v>
      </c>
      <c r="G871" t="b">
        <v>1</v>
      </c>
      <c r="H871" t="b">
        <v>1</v>
      </c>
      <c r="I871" t="b">
        <v>0</v>
      </c>
    </row>
    <row r="872" spans="1:9" x14ac:dyDescent="0.35">
      <c r="A872" t="s">
        <v>2621</v>
      </c>
      <c r="B872" t="s">
        <v>4362</v>
      </c>
      <c r="D872" t="b">
        <f>IFERROR(VLOOKUP(B872,PatData!$A$2:$A$2000,1,),"")&lt;&gt;""</f>
        <v>1</v>
      </c>
      <c r="F872" t="b">
        <v>0</v>
      </c>
      <c r="G872" t="b">
        <v>1</v>
      </c>
      <c r="H872" t="b">
        <v>1</v>
      </c>
      <c r="I872" t="b">
        <v>0</v>
      </c>
    </row>
    <row r="873" spans="1:9" x14ac:dyDescent="0.35">
      <c r="A873" t="s">
        <v>2622</v>
      </c>
      <c r="B873" t="s">
        <v>4363</v>
      </c>
      <c r="D873" t="b">
        <f>IFERROR(VLOOKUP(B873,PatData!$A$2:$A$2000,1,),"")&lt;&gt;""</f>
        <v>1</v>
      </c>
      <c r="F873" t="b">
        <v>0</v>
      </c>
      <c r="G873" t="b">
        <v>1</v>
      </c>
      <c r="H873" t="b">
        <v>1</v>
      </c>
      <c r="I873" t="b">
        <v>0</v>
      </c>
    </row>
    <row r="874" spans="1:9" x14ac:dyDescent="0.35">
      <c r="A874" t="s">
        <v>2623</v>
      </c>
      <c r="B874" t="s">
        <v>4364</v>
      </c>
      <c r="D874" t="b">
        <f>IFERROR(VLOOKUP(B874,PatData!$A$2:$A$2000,1,),"")&lt;&gt;""</f>
        <v>1</v>
      </c>
      <c r="F874" t="b">
        <v>0</v>
      </c>
      <c r="G874" t="b">
        <v>1</v>
      </c>
      <c r="H874" t="b">
        <v>1</v>
      </c>
      <c r="I874" t="b">
        <v>0</v>
      </c>
    </row>
    <row r="875" spans="1:9" x14ac:dyDescent="0.35">
      <c r="A875" t="s">
        <v>2624</v>
      </c>
      <c r="B875" t="s">
        <v>4365</v>
      </c>
      <c r="D875" t="b">
        <f>IFERROR(VLOOKUP(B875,PatData!$A$2:$A$2000,1,),"")&lt;&gt;""</f>
        <v>1</v>
      </c>
      <c r="F875" t="b">
        <v>0</v>
      </c>
      <c r="G875" t="b">
        <v>1</v>
      </c>
      <c r="H875" t="b">
        <v>1</v>
      </c>
      <c r="I875" t="b">
        <v>0</v>
      </c>
    </row>
    <row r="876" spans="1:9" x14ac:dyDescent="0.35">
      <c r="A876" t="s">
        <v>2625</v>
      </c>
      <c r="B876" t="s">
        <v>4366</v>
      </c>
      <c r="D876" t="b">
        <f>IFERROR(VLOOKUP(B876,PatData!$A$2:$A$2000,1,),"")&lt;&gt;""</f>
        <v>1</v>
      </c>
      <c r="F876" t="b">
        <v>0</v>
      </c>
      <c r="G876" t="b">
        <v>1</v>
      </c>
      <c r="H876" t="b">
        <v>1</v>
      </c>
      <c r="I876" t="b">
        <v>0</v>
      </c>
    </row>
    <row r="877" spans="1:9" x14ac:dyDescent="0.35">
      <c r="A877" t="s">
        <v>2626</v>
      </c>
      <c r="B877" t="s">
        <v>4367</v>
      </c>
      <c r="D877" t="b">
        <f>IFERROR(VLOOKUP(B877,PatData!$A$2:$A$2000,1,),"")&lt;&gt;""</f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x14ac:dyDescent="0.35">
      <c r="A878" t="s">
        <v>2627</v>
      </c>
      <c r="B878" t="s">
        <v>4368</v>
      </c>
      <c r="D878" t="b">
        <f>IFERROR(VLOOKUP(B878,PatData!$A$2:$A$2000,1,),"")&lt;&gt;""</f>
        <v>1</v>
      </c>
      <c r="F878" t="b">
        <v>0</v>
      </c>
      <c r="G878" t="b">
        <v>1</v>
      </c>
      <c r="H878" t="b">
        <v>1</v>
      </c>
      <c r="I878" t="b">
        <v>0</v>
      </c>
    </row>
    <row r="879" spans="1:9" x14ac:dyDescent="0.35">
      <c r="A879" t="s">
        <v>2629</v>
      </c>
      <c r="B879" t="s">
        <v>4369</v>
      </c>
      <c r="D879" t="b">
        <f>IFERROR(VLOOKUP(B879,PatData!$A$2:$A$2000,1,),"")&lt;&gt;""</f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x14ac:dyDescent="0.35">
      <c r="A880" t="s">
        <v>2630</v>
      </c>
      <c r="B880" t="s">
        <v>4370</v>
      </c>
      <c r="D880" t="b">
        <f>IFERROR(VLOOKUP(B880,PatData!$A$2:$A$2000,1,),"")&lt;&gt;""</f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x14ac:dyDescent="0.35">
      <c r="A881" t="s">
        <v>2631</v>
      </c>
      <c r="B881" t="s">
        <v>4371</v>
      </c>
      <c r="D881" t="b">
        <f>IFERROR(VLOOKUP(B881,PatData!$A$2:$A$2000,1,),"")&lt;&gt;""</f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x14ac:dyDescent="0.35">
      <c r="A882" t="s">
        <v>2632</v>
      </c>
      <c r="B882" t="s">
        <v>4372</v>
      </c>
      <c r="D882" t="b">
        <f>IFERROR(VLOOKUP(B882,PatData!$A$2:$A$2000,1,),"")&lt;&gt;""</f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x14ac:dyDescent="0.35">
      <c r="A883" t="s">
        <v>2633</v>
      </c>
      <c r="B883" t="s">
        <v>4373</v>
      </c>
      <c r="D883" t="b">
        <f>IFERROR(VLOOKUP(B883,PatData!$A$2:$A$2000,1,),"")&lt;&gt;""</f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x14ac:dyDescent="0.35">
      <c r="A884" t="s">
        <v>2634</v>
      </c>
      <c r="B884" t="s">
        <v>4374</v>
      </c>
      <c r="D884" t="b">
        <f>IFERROR(VLOOKUP(B884,PatData!$A$2:$A$2000,1,),"")&lt;&gt;""</f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x14ac:dyDescent="0.35">
      <c r="A885" t="s">
        <v>2635</v>
      </c>
      <c r="B885" t="s">
        <v>4375</v>
      </c>
      <c r="D885" t="b">
        <f>IFERROR(VLOOKUP(B885,PatData!$A$2:$A$2000,1,),"")&lt;&gt;""</f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x14ac:dyDescent="0.35">
      <c r="A886" t="s">
        <v>2636</v>
      </c>
      <c r="B886" t="s">
        <v>4376</v>
      </c>
      <c r="D886" t="b">
        <f>IFERROR(VLOOKUP(B886,PatData!$A$2:$A$2000,1,),"")&lt;&gt;""</f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x14ac:dyDescent="0.35">
      <c r="A887" t="s">
        <v>2637</v>
      </c>
      <c r="B887" t="s">
        <v>4377</v>
      </c>
      <c r="D887" t="b">
        <f>IFERROR(VLOOKUP(B887,PatData!$A$2:$A$2000,1,),"")&lt;&gt;""</f>
        <v>1</v>
      </c>
      <c r="F887" t="b">
        <v>0</v>
      </c>
      <c r="G887" t="b">
        <v>1</v>
      </c>
      <c r="H887" t="b">
        <v>1</v>
      </c>
      <c r="I887" t="b">
        <v>0</v>
      </c>
    </row>
    <row r="888" spans="1:9" x14ac:dyDescent="0.35">
      <c r="A888" t="s">
        <v>2638</v>
      </c>
      <c r="B888" t="s">
        <v>4378</v>
      </c>
      <c r="D888" t="b">
        <f>IFERROR(VLOOKUP(B888,PatData!$A$2:$A$2000,1,),"")&lt;&gt;""</f>
        <v>1</v>
      </c>
      <c r="F888" t="b">
        <v>0</v>
      </c>
      <c r="G888" t="b">
        <v>1</v>
      </c>
      <c r="H888" t="b">
        <v>1</v>
      </c>
      <c r="I888" t="b">
        <v>0</v>
      </c>
    </row>
    <row r="889" spans="1:9" x14ac:dyDescent="0.35">
      <c r="A889" t="s">
        <v>2640</v>
      </c>
      <c r="B889" t="s">
        <v>4379</v>
      </c>
      <c r="D889" t="b">
        <f>IFERROR(VLOOKUP(B889,PatData!$A$2:$A$2000,1,),"")&lt;&gt;""</f>
        <v>1</v>
      </c>
      <c r="F889" t="b">
        <v>0</v>
      </c>
      <c r="G889" t="b">
        <v>1</v>
      </c>
      <c r="H889" t="b">
        <v>1</v>
      </c>
      <c r="I889" t="b">
        <v>0</v>
      </c>
    </row>
    <row r="890" spans="1:9" x14ac:dyDescent="0.35">
      <c r="A890" t="s">
        <v>2641</v>
      </c>
      <c r="B890" t="s">
        <v>4380</v>
      </c>
      <c r="D890" t="b">
        <f>IFERROR(VLOOKUP(B890,PatData!$A$2:$A$2000,1,),"")&lt;&gt;""</f>
        <v>1</v>
      </c>
      <c r="F890" t="b">
        <v>0</v>
      </c>
      <c r="G890" t="b">
        <v>1</v>
      </c>
      <c r="H890" t="b">
        <v>1</v>
      </c>
      <c r="I890" t="b">
        <v>0</v>
      </c>
    </row>
    <row r="891" spans="1:9" x14ac:dyDescent="0.35">
      <c r="A891" t="s">
        <v>2648</v>
      </c>
      <c r="B891" t="s">
        <v>4381</v>
      </c>
      <c r="D891" t="b">
        <f>IFERROR(VLOOKUP(B891,PatData!$A$2:$A$2000,1,),"")&lt;&gt;""</f>
        <v>1</v>
      </c>
      <c r="F891" t="b">
        <v>0</v>
      </c>
      <c r="G891" t="b">
        <v>1</v>
      </c>
      <c r="H891" t="b">
        <v>1</v>
      </c>
      <c r="I891" t="b">
        <v>0</v>
      </c>
    </row>
    <row r="892" spans="1:9" x14ac:dyDescent="0.35">
      <c r="A892" t="s">
        <v>2659</v>
      </c>
      <c r="B892" t="s">
        <v>4382</v>
      </c>
      <c r="D892" t="b">
        <f>IFERROR(VLOOKUP(B892,PatData!$A$2:$A$2000,1,),"")&lt;&gt;""</f>
        <v>1</v>
      </c>
      <c r="F892" t="b">
        <v>0</v>
      </c>
      <c r="G892" t="b">
        <v>1</v>
      </c>
      <c r="H892" t="b">
        <v>1</v>
      </c>
      <c r="I892" t="b">
        <v>0</v>
      </c>
    </row>
    <row r="893" spans="1:9" x14ac:dyDescent="0.35">
      <c r="A893" t="s">
        <v>2670</v>
      </c>
      <c r="B893" t="s">
        <v>4383</v>
      </c>
      <c r="D893" t="b">
        <f>IFERROR(VLOOKUP(B893,PatData!$A$2:$A$2000,1,),"")&lt;&gt;""</f>
        <v>1</v>
      </c>
      <c r="F893" t="b">
        <v>0</v>
      </c>
      <c r="G893" t="b">
        <v>1</v>
      </c>
      <c r="H893" t="b">
        <v>1</v>
      </c>
      <c r="I893" t="b">
        <v>0</v>
      </c>
    </row>
    <row r="894" spans="1:9" x14ac:dyDescent="0.35">
      <c r="A894" t="s">
        <v>2673</v>
      </c>
      <c r="B894" t="s">
        <v>4384</v>
      </c>
      <c r="D894" t="b">
        <f>IFERROR(VLOOKUP(B894,PatData!$A$2:$A$2000,1,),"")&lt;&gt;""</f>
        <v>1</v>
      </c>
      <c r="F894" t="b">
        <v>0</v>
      </c>
      <c r="G894" t="b">
        <v>1</v>
      </c>
      <c r="H894" t="b">
        <v>1</v>
      </c>
      <c r="I894" t="b">
        <v>0</v>
      </c>
    </row>
    <row r="895" spans="1:9" x14ac:dyDescent="0.35">
      <c r="A895" t="s">
        <v>2674</v>
      </c>
      <c r="B895" t="s">
        <v>4385</v>
      </c>
      <c r="D895" t="b">
        <f>IFERROR(VLOOKUP(B895,PatData!$A$2:$A$2000,1,),"")&lt;&gt;""</f>
        <v>1</v>
      </c>
      <c r="F895" t="b">
        <v>0</v>
      </c>
      <c r="G895" t="b">
        <v>1</v>
      </c>
      <c r="H895" t="b">
        <v>1</v>
      </c>
      <c r="I895" t="b">
        <v>0</v>
      </c>
    </row>
    <row r="896" spans="1:9" x14ac:dyDescent="0.35">
      <c r="A896" t="s">
        <v>2675</v>
      </c>
      <c r="B896" t="s">
        <v>4386</v>
      </c>
      <c r="D896" t="b">
        <f>IFERROR(VLOOKUP(B896,PatData!$A$2:$A$2000,1,),"")&lt;&gt;""</f>
        <v>1</v>
      </c>
      <c r="F896" t="b">
        <v>0</v>
      </c>
      <c r="G896" t="b">
        <v>1</v>
      </c>
      <c r="H896" t="b">
        <v>1</v>
      </c>
      <c r="I896" t="b">
        <v>0</v>
      </c>
    </row>
    <row r="897" spans="1:9" x14ac:dyDescent="0.35">
      <c r="A897" t="s">
        <v>2676</v>
      </c>
      <c r="B897" t="s">
        <v>4387</v>
      </c>
      <c r="D897" t="b">
        <f>IFERROR(VLOOKUP(B897,PatData!$A$2:$A$2000,1,),"")&lt;&gt;""</f>
        <v>1</v>
      </c>
      <c r="F897" t="b">
        <v>0</v>
      </c>
      <c r="G897" t="b">
        <v>1</v>
      </c>
      <c r="H897" t="b">
        <v>1</v>
      </c>
      <c r="I897" t="b">
        <v>0</v>
      </c>
    </row>
    <row r="898" spans="1:9" x14ac:dyDescent="0.35">
      <c r="A898" t="s">
        <v>2677</v>
      </c>
      <c r="B898" t="s">
        <v>4388</v>
      </c>
      <c r="D898" t="b">
        <f>IFERROR(VLOOKUP(B898,PatData!$A$2:$A$2000,1,),"")&lt;&gt;""</f>
        <v>1</v>
      </c>
      <c r="F898" t="b">
        <v>0</v>
      </c>
      <c r="G898" t="b">
        <v>1</v>
      </c>
      <c r="H898" t="b">
        <v>1</v>
      </c>
      <c r="I898" t="b">
        <v>0</v>
      </c>
    </row>
    <row r="899" spans="1:9" x14ac:dyDescent="0.35">
      <c r="A899" t="s">
        <v>2678</v>
      </c>
      <c r="B899" t="s">
        <v>4389</v>
      </c>
      <c r="D899" t="b">
        <f>IFERROR(VLOOKUP(B899,PatData!$A$2:$A$2000,1,),"")&lt;&gt;""</f>
        <v>1</v>
      </c>
      <c r="F899" t="b">
        <v>0</v>
      </c>
      <c r="G899" t="b">
        <v>1</v>
      </c>
      <c r="H899" t="b">
        <v>1</v>
      </c>
      <c r="I899" t="b">
        <v>0</v>
      </c>
    </row>
    <row r="900" spans="1:9" x14ac:dyDescent="0.35">
      <c r="A900" t="s">
        <v>2649</v>
      </c>
      <c r="B900" t="s">
        <v>4390</v>
      </c>
      <c r="D900" t="b">
        <f>IFERROR(VLOOKUP(B900,PatData!$A$2:$A$2000,1,),"")&lt;&gt;""</f>
        <v>1</v>
      </c>
      <c r="F900" t="b">
        <v>0</v>
      </c>
      <c r="G900" t="b">
        <v>1</v>
      </c>
      <c r="H900" t="b">
        <v>1</v>
      </c>
      <c r="I900" t="b">
        <v>0</v>
      </c>
    </row>
    <row r="901" spans="1:9" x14ac:dyDescent="0.35">
      <c r="A901" t="s">
        <v>2650</v>
      </c>
      <c r="B901" t="s">
        <v>4391</v>
      </c>
      <c r="D901" t="b">
        <f>IFERROR(VLOOKUP(B901,PatData!$A$2:$A$2000,1,),"")&lt;&gt;""</f>
        <v>1</v>
      </c>
      <c r="F901" t="b">
        <v>0</v>
      </c>
      <c r="G901" t="b">
        <v>1</v>
      </c>
      <c r="H901" t="b">
        <v>1</v>
      </c>
      <c r="I901" t="b">
        <v>0</v>
      </c>
    </row>
    <row r="902" spans="1:9" x14ac:dyDescent="0.35">
      <c r="A902" t="s">
        <v>2651</v>
      </c>
      <c r="B902" t="s">
        <v>4392</v>
      </c>
      <c r="D902" t="b">
        <f>IFERROR(VLOOKUP(B902,PatData!$A$2:$A$2000,1,),"")&lt;&gt;""</f>
        <v>1</v>
      </c>
      <c r="F902" t="b">
        <v>0</v>
      </c>
      <c r="G902" t="b">
        <v>1</v>
      </c>
      <c r="H902" t="b">
        <v>1</v>
      </c>
      <c r="I902" t="b">
        <v>0</v>
      </c>
    </row>
    <row r="903" spans="1:9" x14ac:dyDescent="0.35">
      <c r="A903" t="s">
        <v>2652</v>
      </c>
      <c r="B903" t="s">
        <v>4393</v>
      </c>
      <c r="D903" t="b">
        <f>IFERROR(VLOOKUP(B903,PatData!$A$2:$A$2000,1,),"")&lt;&gt;""</f>
        <v>1</v>
      </c>
      <c r="F903" t="b">
        <v>0</v>
      </c>
      <c r="G903" t="b">
        <v>1</v>
      </c>
      <c r="H903" t="b">
        <v>1</v>
      </c>
      <c r="I903" t="b">
        <v>0</v>
      </c>
    </row>
    <row r="904" spans="1:9" x14ac:dyDescent="0.35">
      <c r="A904" t="s">
        <v>2653</v>
      </c>
      <c r="B904" t="s">
        <v>4394</v>
      </c>
      <c r="D904" t="b">
        <f>IFERROR(VLOOKUP(B904,PatData!$A$2:$A$2000,1,),"")&lt;&gt;""</f>
        <v>1</v>
      </c>
      <c r="F904" t="b">
        <v>0</v>
      </c>
      <c r="G904" t="b">
        <v>1</v>
      </c>
      <c r="H904" t="b">
        <v>1</v>
      </c>
      <c r="I904" t="b">
        <v>0</v>
      </c>
    </row>
    <row r="905" spans="1:9" x14ac:dyDescent="0.35">
      <c r="A905" t="s">
        <v>2654</v>
      </c>
      <c r="B905" t="s">
        <v>4395</v>
      </c>
      <c r="D905" t="b">
        <f>IFERROR(VLOOKUP(B905,PatData!$A$2:$A$2000,1,),"")&lt;&gt;""</f>
        <v>1</v>
      </c>
      <c r="F905" t="b">
        <v>0</v>
      </c>
      <c r="G905" t="b">
        <v>1</v>
      </c>
      <c r="H905" t="b">
        <v>1</v>
      </c>
      <c r="I905" t="b">
        <v>0</v>
      </c>
    </row>
    <row r="906" spans="1:9" x14ac:dyDescent="0.35">
      <c r="A906" t="s">
        <v>2655</v>
      </c>
      <c r="B906" t="s">
        <v>4396</v>
      </c>
      <c r="D906" t="b">
        <f>IFERROR(VLOOKUP(B906,PatData!$A$2:$A$2000,1,),"")&lt;&gt;""</f>
        <v>1</v>
      </c>
      <c r="F906" t="b">
        <v>0</v>
      </c>
      <c r="G906" t="b">
        <v>1</v>
      </c>
      <c r="H906" t="b">
        <v>1</v>
      </c>
      <c r="I906" t="b">
        <v>0</v>
      </c>
    </row>
    <row r="907" spans="1:9" x14ac:dyDescent="0.35">
      <c r="A907" t="s">
        <v>2656</v>
      </c>
      <c r="B907" t="s">
        <v>4397</v>
      </c>
      <c r="D907" t="b">
        <f>IFERROR(VLOOKUP(B907,PatData!$A$2:$A$2000,1,),"")&lt;&gt;""</f>
        <v>1</v>
      </c>
      <c r="F907" t="b">
        <v>0</v>
      </c>
      <c r="G907" t="b">
        <v>1</v>
      </c>
      <c r="H907" t="b">
        <v>1</v>
      </c>
      <c r="I907" t="b">
        <v>0</v>
      </c>
    </row>
    <row r="908" spans="1:9" x14ac:dyDescent="0.35">
      <c r="A908" t="s">
        <v>2657</v>
      </c>
      <c r="B908" t="s">
        <v>4398</v>
      </c>
      <c r="D908" t="b">
        <f>IFERROR(VLOOKUP(B908,PatData!$A$2:$A$2000,1,),"")&lt;&gt;""</f>
        <v>1</v>
      </c>
      <c r="F908" t="b">
        <v>0</v>
      </c>
      <c r="G908" t="b">
        <v>1</v>
      </c>
      <c r="H908" t="b">
        <v>1</v>
      </c>
      <c r="I908" t="b">
        <v>0</v>
      </c>
    </row>
    <row r="909" spans="1:9" x14ac:dyDescent="0.35">
      <c r="A909" t="s">
        <v>2658</v>
      </c>
      <c r="B909" t="s">
        <v>4399</v>
      </c>
      <c r="D909" t="b">
        <f>IFERROR(VLOOKUP(B909,PatData!$A$2:$A$2000,1,),"")&lt;&gt;""</f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x14ac:dyDescent="0.35">
      <c r="A910" t="s">
        <v>2660</v>
      </c>
      <c r="B910" t="s">
        <v>4400</v>
      </c>
      <c r="D910" t="b">
        <f>IFERROR(VLOOKUP(B910,PatData!$A$2:$A$2000,1,),"")&lt;&gt;""</f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x14ac:dyDescent="0.35">
      <c r="A911" t="s">
        <v>2661</v>
      </c>
      <c r="B911" t="s">
        <v>4401</v>
      </c>
      <c r="D911" t="b">
        <f>IFERROR(VLOOKUP(B911,PatData!$A$2:$A$2000,1,),"")&lt;&gt;""</f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x14ac:dyDescent="0.35">
      <c r="A912" t="s">
        <v>2662</v>
      </c>
      <c r="B912" t="s">
        <v>4402</v>
      </c>
      <c r="D912" t="b">
        <f>IFERROR(VLOOKUP(B912,PatData!$A$2:$A$2000,1,),"")&lt;&gt;""</f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x14ac:dyDescent="0.35">
      <c r="A913" t="s">
        <v>2663</v>
      </c>
      <c r="B913" t="s">
        <v>4403</v>
      </c>
      <c r="D913" t="b">
        <f>IFERROR(VLOOKUP(B913,PatData!$A$2:$A$2000,1,),"")&lt;&gt;""</f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x14ac:dyDescent="0.35">
      <c r="A914" t="s">
        <v>2664</v>
      </c>
      <c r="B914" t="s">
        <v>4404</v>
      </c>
      <c r="D914" t="b">
        <f>IFERROR(VLOOKUP(B914,PatData!$A$2:$A$2000,1,),"")&lt;&gt;""</f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x14ac:dyDescent="0.35">
      <c r="A915" t="s">
        <v>2665</v>
      </c>
      <c r="B915" t="s">
        <v>4405</v>
      </c>
      <c r="D915" t="b">
        <f>IFERROR(VLOOKUP(B915,PatData!$A$2:$A$2000,1,),"")&lt;&gt;""</f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x14ac:dyDescent="0.35">
      <c r="A916" t="s">
        <v>2666</v>
      </c>
      <c r="B916" t="s">
        <v>4406</v>
      </c>
      <c r="D916" t="b">
        <f>IFERROR(VLOOKUP(B916,PatData!$A$2:$A$2000,1,),"")&lt;&gt;""</f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x14ac:dyDescent="0.35">
      <c r="A917" t="s">
        <v>2667</v>
      </c>
      <c r="B917" t="s">
        <v>4407</v>
      </c>
      <c r="D917" t="b">
        <f>IFERROR(VLOOKUP(B917,PatData!$A$2:$A$2000,1,),"")&lt;&gt;""</f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x14ac:dyDescent="0.35">
      <c r="A918" t="s">
        <v>2668</v>
      </c>
      <c r="B918" t="s">
        <v>4408</v>
      </c>
      <c r="D918" t="b">
        <f>IFERROR(VLOOKUP(B918,PatData!$A$2:$A$2000,1,),"")&lt;&gt;""</f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x14ac:dyDescent="0.35">
      <c r="A919" t="s">
        <v>2669</v>
      </c>
      <c r="B919" t="s">
        <v>4409</v>
      </c>
      <c r="D919" t="b">
        <f>IFERROR(VLOOKUP(B919,PatData!$A$2:$A$2000,1,),"")&lt;&gt;""</f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x14ac:dyDescent="0.35">
      <c r="A920" t="s">
        <v>2671</v>
      </c>
      <c r="B920" t="s">
        <v>4410</v>
      </c>
      <c r="D920" t="b">
        <f>IFERROR(VLOOKUP(B920,PatData!$A$2:$A$2000,1,),"")&lt;&gt;""</f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x14ac:dyDescent="0.35">
      <c r="A921" t="s">
        <v>2672</v>
      </c>
      <c r="B921" t="s">
        <v>4411</v>
      </c>
      <c r="D921" t="b">
        <f>IFERROR(VLOOKUP(B921,PatData!$A$2:$A$2000,1,),"")&lt;&gt;""</f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x14ac:dyDescent="0.35">
      <c r="A922" t="s">
        <v>2679</v>
      </c>
      <c r="B922" t="s">
        <v>4412</v>
      </c>
      <c r="D922" t="b">
        <f>IFERROR(VLOOKUP(B922,PatData!$A$2:$A$2000,1,),"")&lt;&gt;""</f>
        <v>1</v>
      </c>
      <c r="F922" t="b">
        <v>0</v>
      </c>
      <c r="G922" t="b">
        <v>1</v>
      </c>
      <c r="H922" t="b">
        <v>1</v>
      </c>
      <c r="I922" t="b">
        <v>0</v>
      </c>
    </row>
    <row r="923" spans="1:9" x14ac:dyDescent="0.35">
      <c r="A923" t="s">
        <v>2690</v>
      </c>
      <c r="B923" t="s">
        <v>4413</v>
      </c>
      <c r="D923" t="b">
        <f>IFERROR(VLOOKUP(B923,PatData!$A$2:$A$2000,1,),"")&lt;&gt;""</f>
        <v>1</v>
      </c>
      <c r="F923" t="b">
        <v>0</v>
      </c>
      <c r="G923" t="b">
        <v>1</v>
      </c>
      <c r="H923" t="b">
        <v>1</v>
      </c>
      <c r="I923" t="b">
        <v>0</v>
      </c>
    </row>
    <row r="924" spans="1:9" x14ac:dyDescent="0.35">
      <c r="A924" t="s">
        <v>2701</v>
      </c>
      <c r="B924" t="s">
        <v>4414</v>
      </c>
      <c r="D924" t="b">
        <f>IFERROR(VLOOKUP(B924,PatData!$A$2:$A$2000,1,),"")&lt;&gt;""</f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x14ac:dyDescent="0.35">
      <c r="A925" t="s">
        <v>2704</v>
      </c>
      <c r="B925" t="s">
        <v>4415</v>
      </c>
      <c r="D925" t="b">
        <f>IFERROR(VLOOKUP(B925,PatData!$A$2:$A$2000,1,),"")&lt;&gt;""</f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x14ac:dyDescent="0.35">
      <c r="A926" t="s">
        <v>2705</v>
      </c>
      <c r="B926" t="s">
        <v>4416</v>
      </c>
      <c r="D926" t="b">
        <f>IFERROR(VLOOKUP(B926,PatData!$A$2:$A$2000,1,),"")&lt;&gt;""</f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x14ac:dyDescent="0.35">
      <c r="A927" t="s">
        <v>2706</v>
      </c>
      <c r="B927" t="s">
        <v>4417</v>
      </c>
      <c r="D927" t="b">
        <f>IFERROR(VLOOKUP(B927,PatData!$A$2:$A$2000,1,),"")&lt;&gt;""</f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x14ac:dyDescent="0.35">
      <c r="A928" t="s">
        <v>2707</v>
      </c>
      <c r="B928" t="s">
        <v>4418</v>
      </c>
      <c r="D928" t="b">
        <f>IFERROR(VLOOKUP(B928,PatData!$A$2:$A$2000,1,),"")&lt;&gt;""</f>
        <v>1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35">
      <c r="A929" t="s">
        <v>2708</v>
      </c>
      <c r="B929" t="s">
        <v>4419</v>
      </c>
      <c r="D929" t="b">
        <f>IFERROR(VLOOKUP(B929,PatData!$A$2:$A$2000,1,),"")&lt;&gt;""</f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35">
      <c r="A930" t="s">
        <v>2709</v>
      </c>
      <c r="B930" t="s">
        <v>4420</v>
      </c>
      <c r="D930" t="b">
        <f>IFERROR(VLOOKUP(B930,PatData!$A$2:$A$2000,1,),"")&lt;&gt;""</f>
        <v>1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35">
      <c r="A931" t="s">
        <v>2680</v>
      </c>
      <c r="B931" t="s">
        <v>4421</v>
      </c>
      <c r="D931" t="b">
        <f>IFERROR(VLOOKUP(B931,PatData!$A$2:$A$2000,1,),"")&lt;&gt;""</f>
        <v>1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35">
      <c r="A932" t="s">
        <v>2681</v>
      </c>
      <c r="B932" t="s">
        <v>4422</v>
      </c>
      <c r="D932" t="b">
        <f>IFERROR(VLOOKUP(B932,PatData!$A$2:$A$2000,1,),"")&lt;&gt;""</f>
        <v>1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35">
      <c r="A933" t="s">
        <v>2682</v>
      </c>
      <c r="B933" t="s">
        <v>4423</v>
      </c>
      <c r="D933" t="b">
        <f>IFERROR(VLOOKUP(B933,PatData!$A$2:$A$2000,1,),"")&lt;&gt;""</f>
        <v>1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35">
      <c r="A934" t="s">
        <v>2683</v>
      </c>
      <c r="B934" t="s">
        <v>4424</v>
      </c>
      <c r="D934" t="b">
        <f>IFERROR(VLOOKUP(B934,PatData!$A$2:$A$2000,1,),"")&lt;&gt;""</f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35">
      <c r="A935" t="s">
        <v>2684</v>
      </c>
      <c r="B935" t="s">
        <v>4425</v>
      </c>
      <c r="D935" t="b">
        <f>IFERROR(VLOOKUP(B935,PatData!$A$2:$A$2000,1,),"")&lt;&gt;""</f>
        <v>1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35">
      <c r="A936" t="s">
        <v>2685</v>
      </c>
      <c r="B936" t="s">
        <v>4426</v>
      </c>
      <c r="D936" t="b">
        <f>IFERROR(VLOOKUP(B936,PatData!$A$2:$A$2000,1,),"")&lt;&gt;""</f>
        <v>1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35">
      <c r="A937" t="s">
        <v>2686</v>
      </c>
      <c r="B937" t="s">
        <v>4427</v>
      </c>
      <c r="D937" t="b">
        <f>IFERROR(VLOOKUP(B937,PatData!$A$2:$A$2000,1,),"")&lt;&gt;""</f>
        <v>1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35">
      <c r="A938" t="s">
        <v>2687</v>
      </c>
      <c r="B938" t="s">
        <v>4428</v>
      </c>
      <c r="D938" t="b">
        <f>IFERROR(VLOOKUP(B938,PatData!$A$2:$A$2000,1,),"")&lt;&gt;""</f>
        <v>1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35">
      <c r="A939" t="s">
        <v>2688</v>
      </c>
      <c r="B939" t="s">
        <v>4429</v>
      </c>
      <c r="D939" t="b">
        <f>IFERROR(VLOOKUP(B939,PatData!$A$2:$A$2000,1,),"")&lt;&gt;""</f>
        <v>1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35">
      <c r="A940" t="s">
        <v>2689</v>
      </c>
      <c r="B940" t="s">
        <v>4430</v>
      </c>
      <c r="D940" t="b">
        <f>IFERROR(VLOOKUP(B940,PatData!$A$2:$A$2000,1,),"")&lt;&gt;""</f>
        <v>1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35">
      <c r="A941" t="s">
        <v>2691</v>
      </c>
      <c r="B941" t="s">
        <v>4431</v>
      </c>
      <c r="D941" t="b">
        <f>IFERROR(VLOOKUP(B941,PatData!$A$2:$A$2000,1,),"")&lt;&gt;""</f>
        <v>1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35">
      <c r="A942" t="s">
        <v>2692</v>
      </c>
      <c r="B942" t="s">
        <v>4432</v>
      </c>
      <c r="D942" t="b">
        <f>IFERROR(VLOOKUP(B942,PatData!$A$2:$A$2000,1,),"")&lt;&gt;""</f>
        <v>1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35">
      <c r="A943" t="s">
        <v>2693</v>
      </c>
      <c r="B943" t="s">
        <v>4433</v>
      </c>
      <c r="D943" t="b">
        <f>IFERROR(VLOOKUP(B943,PatData!$A$2:$A$2000,1,),"")&lt;&gt;""</f>
        <v>1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35">
      <c r="A944" t="s">
        <v>2694</v>
      </c>
      <c r="B944" t="s">
        <v>4434</v>
      </c>
      <c r="D944" t="b">
        <f>IFERROR(VLOOKUP(B944,PatData!$A$2:$A$2000,1,),"")&lt;&gt;""</f>
        <v>1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35">
      <c r="A945" t="s">
        <v>2695</v>
      </c>
      <c r="B945" t="s">
        <v>4435</v>
      </c>
      <c r="D945" t="b">
        <f>IFERROR(VLOOKUP(B945,PatData!$A$2:$A$2000,1,),"")&lt;&gt;""</f>
        <v>1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35">
      <c r="A946" t="s">
        <v>2696</v>
      </c>
      <c r="B946" t="s">
        <v>4436</v>
      </c>
      <c r="D946" t="b">
        <f>IFERROR(VLOOKUP(B946,PatData!$A$2:$A$2000,1,),"")&lt;&gt;""</f>
        <v>1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35">
      <c r="A947" t="s">
        <v>2697</v>
      </c>
      <c r="B947" t="s">
        <v>4437</v>
      </c>
      <c r="D947" t="b">
        <f>IFERROR(VLOOKUP(B947,PatData!$A$2:$A$2000,1,),"")&lt;&gt;""</f>
        <v>1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35">
      <c r="A948" t="s">
        <v>2698</v>
      </c>
      <c r="B948" t="s">
        <v>4438</v>
      </c>
      <c r="D948" t="b">
        <f>IFERROR(VLOOKUP(B948,PatData!$A$2:$A$2000,1,),"")&lt;&gt;""</f>
        <v>1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35">
      <c r="A949" t="s">
        <v>2699</v>
      </c>
      <c r="B949" t="s">
        <v>4439</v>
      </c>
      <c r="D949" t="b">
        <f>IFERROR(VLOOKUP(B949,PatData!$A$2:$A$2000,1,),"")&lt;&gt;""</f>
        <v>1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35">
      <c r="A950" t="s">
        <v>2700</v>
      </c>
      <c r="B950" t="s">
        <v>4440</v>
      </c>
      <c r="D950" t="b">
        <f>IFERROR(VLOOKUP(B950,PatData!$A$2:$A$2000,1,),"")&lt;&gt;""</f>
        <v>1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35">
      <c r="A951" t="s">
        <v>2702</v>
      </c>
      <c r="B951" t="s">
        <v>4441</v>
      </c>
      <c r="D951" t="b">
        <f>IFERROR(VLOOKUP(B951,PatData!$A$2:$A$2000,1,),"")&lt;&gt;""</f>
        <v>1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35">
      <c r="A952" t="s">
        <v>2703</v>
      </c>
      <c r="B952" t="s">
        <v>4442</v>
      </c>
      <c r="D952" t="b">
        <f>IFERROR(VLOOKUP(B952,PatData!$A$2:$A$2000,1,),"")&lt;&gt;""</f>
        <v>1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35">
      <c r="A953" t="s">
        <v>2710</v>
      </c>
      <c r="B953" t="s">
        <v>4443</v>
      </c>
      <c r="D953" t="b">
        <f>IFERROR(VLOOKUP(B953,PatData!$A$2:$A$2000,1,),"")&lt;&gt;""</f>
        <v>1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35">
      <c r="A954" t="s">
        <v>2721</v>
      </c>
      <c r="B954" t="s">
        <v>4444</v>
      </c>
      <c r="D954" t="b">
        <f>IFERROR(VLOOKUP(B954,PatData!$A$2:$A$2000,1,),"")&lt;&gt;""</f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35">
      <c r="A955" t="s">
        <v>2732</v>
      </c>
      <c r="B955" t="s">
        <v>4445</v>
      </c>
      <c r="D955" t="b">
        <f>IFERROR(VLOOKUP(B955,PatData!$A$2:$A$2000,1,),"")&lt;&gt;""</f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35">
      <c r="A956" t="s">
        <v>2735</v>
      </c>
      <c r="B956" t="s">
        <v>4446</v>
      </c>
      <c r="D956" t="b">
        <f>IFERROR(VLOOKUP(B956,PatData!$A$2:$A$2000,1,),"")&lt;&gt;""</f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35">
      <c r="A957" t="s">
        <v>2736</v>
      </c>
      <c r="B957" t="s">
        <v>4447</v>
      </c>
      <c r="D957" t="b">
        <f>IFERROR(VLOOKUP(B957,PatData!$A$2:$A$2000,1,),"")&lt;&gt;""</f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35">
      <c r="A958" t="s">
        <v>2737</v>
      </c>
      <c r="B958" t="s">
        <v>4448</v>
      </c>
      <c r="D958" t="b">
        <f>IFERROR(VLOOKUP(B958,PatData!$A$2:$A$2000,1,),"")&lt;&gt;""</f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35">
      <c r="A959" t="s">
        <v>2738</v>
      </c>
      <c r="B959" t="s">
        <v>4449</v>
      </c>
      <c r="D959" t="b">
        <f>IFERROR(VLOOKUP(B959,PatData!$A$2:$A$2000,1,),"")&lt;&gt;""</f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35">
      <c r="A960" t="s">
        <v>2739</v>
      </c>
      <c r="B960" t="s">
        <v>4450</v>
      </c>
      <c r="D960" t="b">
        <f>IFERROR(VLOOKUP(B960,PatData!$A$2:$A$2000,1,),"")&lt;&gt;""</f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35">
      <c r="A961" t="s">
        <v>2740</v>
      </c>
      <c r="B961" t="s">
        <v>4451</v>
      </c>
      <c r="D961" t="b">
        <f>IFERROR(VLOOKUP(B961,PatData!$A$2:$A$2000,1,),"")&lt;&gt;""</f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35">
      <c r="A962" t="s">
        <v>2711</v>
      </c>
      <c r="B962" t="s">
        <v>4452</v>
      </c>
      <c r="D962" t="b">
        <f>IFERROR(VLOOKUP(B962,PatData!$A$2:$A$2000,1,),"")&lt;&gt;""</f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35">
      <c r="A963" t="s">
        <v>2712</v>
      </c>
      <c r="B963" t="s">
        <v>4453</v>
      </c>
      <c r="D963" t="b">
        <f>IFERROR(VLOOKUP(B963,PatData!$A$2:$A$2000,1,),"")&lt;&gt;""</f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35">
      <c r="A964" t="s">
        <v>2713</v>
      </c>
      <c r="B964" t="s">
        <v>4454</v>
      </c>
      <c r="D964" t="b">
        <f>IFERROR(VLOOKUP(B964,PatData!$A$2:$A$2000,1,),"")&lt;&gt;""</f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35">
      <c r="A965" t="s">
        <v>2714</v>
      </c>
      <c r="B965" t="s">
        <v>4455</v>
      </c>
      <c r="D965" t="b">
        <f>IFERROR(VLOOKUP(B965,PatData!$A$2:$A$2000,1,),"")&lt;&gt;""</f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35">
      <c r="A966" t="s">
        <v>2715</v>
      </c>
      <c r="B966" t="s">
        <v>4456</v>
      </c>
      <c r="D966" t="b">
        <f>IFERROR(VLOOKUP(B966,PatData!$A$2:$A$2000,1,),"")&lt;&gt;""</f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35">
      <c r="A967" t="s">
        <v>2716</v>
      </c>
      <c r="B967" t="s">
        <v>4457</v>
      </c>
      <c r="D967" t="b">
        <f>IFERROR(VLOOKUP(B967,PatData!$A$2:$A$2000,1,),"")&lt;&gt;""</f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35">
      <c r="A968" t="s">
        <v>2717</v>
      </c>
      <c r="B968" t="s">
        <v>4458</v>
      </c>
      <c r="D968" t="b">
        <f>IFERROR(VLOOKUP(B968,PatData!$A$2:$A$2000,1,),"")&lt;&gt;""</f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35">
      <c r="A969" t="s">
        <v>2718</v>
      </c>
      <c r="B969" t="s">
        <v>4459</v>
      </c>
      <c r="D969" t="b">
        <f>IFERROR(VLOOKUP(B969,PatData!$A$2:$A$2000,1,),"")&lt;&gt;""</f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35">
      <c r="A970" t="s">
        <v>2719</v>
      </c>
      <c r="B970" t="s">
        <v>4460</v>
      </c>
      <c r="D970" t="b">
        <f>IFERROR(VLOOKUP(B970,PatData!$A$2:$A$2000,1,),"")&lt;&gt;""</f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35">
      <c r="A971" t="s">
        <v>2720</v>
      </c>
      <c r="B971" t="s">
        <v>4461</v>
      </c>
      <c r="D971" t="b">
        <f>IFERROR(VLOOKUP(B971,PatData!$A$2:$A$2000,1,),"")&lt;&gt;""</f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35">
      <c r="A972" t="s">
        <v>2722</v>
      </c>
      <c r="B972" t="s">
        <v>4462</v>
      </c>
      <c r="D972" t="b">
        <f>IFERROR(VLOOKUP(B972,PatData!$A$2:$A$2000,1,),"")&lt;&gt;""</f>
        <v>1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35">
      <c r="A973" t="s">
        <v>2723</v>
      </c>
      <c r="B973" t="s">
        <v>4463</v>
      </c>
      <c r="D973" t="b">
        <f>IFERROR(VLOOKUP(B973,PatData!$A$2:$A$2000,1,),"")&lt;&gt;""</f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35">
      <c r="A974" t="s">
        <v>2724</v>
      </c>
      <c r="B974" t="s">
        <v>4464</v>
      </c>
      <c r="D974" t="b">
        <f>IFERROR(VLOOKUP(B974,PatData!$A$2:$A$2000,1,),"")&lt;&gt;""</f>
        <v>1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35">
      <c r="A975" t="s">
        <v>2725</v>
      </c>
      <c r="B975" t="s">
        <v>4465</v>
      </c>
      <c r="D975" t="b">
        <f>IFERROR(VLOOKUP(B975,PatData!$A$2:$A$2000,1,),"")&lt;&gt;""</f>
        <v>1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35">
      <c r="A976" t="s">
        <v>2726</v>
      </c>
      <c r="B976" t="s">
        <v>4466</v>
      </c>
      <c r="D976" t="b">
        <f>IFERROR(VLOOKUP(B976,PatData!$A$2:$A$2000,1,),"")&lt;&gt;""</f>
        <v>1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35">
      <c r="A977" t="s">
        <v>2727</v>
      </c>
      <c r="B977" t="s">
        <v>4467</v>
      </c>
      <c r="D977" t="b">
        <f>IFERROR(VLOOKUP(B977,PatData!$A$2:$A$2000,1,),"")&lt;&gt;""</f>
        <v>1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35">
      <c r="A978" t="s">
        <v>2728</v>
      </c>
      <c r="B978" t="s">
        <v>4468</v>
      </c>
      <c r="D978" t="b">
        <f>IFERROR(VLOOKUP(B978,PatData!$A$2:$A$2000,1,),"")&lt;&gt;""</f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35">
      <c r="A979" t="s">
        <v>2729</v>
      </c>
      <c r="B979" t="s">
        <v>4469</v>
      </c>
      <c r="D979" t="b">
        <f>IFERROR(VLOOKUP(B979,PatData!$A$2:$A$2000,1,),"")&lt;&gt;""</f>
        <v>1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35">
      <c r="A980" t="s">
        <v>2730</v>
      </c>
      <c r="B980" t="s">
        <v>4470</v>
      </c>
      <c r="D980" t="b">
        <f>IFERROR(VLOOKUP(B980,PatData!$A$2:$A$2000,1,),"")&lt;&gt;""</f>
        <v>1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35">
      <c r="A981" t="s">
        <v>2731</v>
      </c>
      <c r="B981" t="s">
        <v>4471</v>
      </c>
      <c r="D981" t="b">
        <f>IFERROR(VLOOKUP(B981,PatData!$A$2:$A$2000,1,),"")&lt;&gt;""</f>
        <v>1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35">
      <c r="A982" t="s">
        <v>2733</v>
      </c>
      <c r="B982" t="s">
        <v>4472</v>
      </c>
      <c r="D982" t="b">
        <f>IFERROR(VLOOKUP(B982,PatData!$A$2:$A$2000,1,),"")&lt;&gt;""</f>
        <v>1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35">
      <c r="A983" t="s">
        <v>2734</v>
      </c>
      <c r="B983" t="s">
        <v>4473</v>
      </c>
      <c r="D983" t="b">
        <f>IFERROR(VLOOKUP(B983,PatData!$A$2:$A$2000,1,),"")&lt;&gt;""</f>
        <v>1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35">
      <c r="A984" t="s">
        <v>2741</v>
      </c>
      <c r="B984" t="s">
        <v>4474</v>
      </c>
      <c r="D984" t="b">
        <f>IFERROR(VLOOKUP(B984,PatData!$A$2:$A$2000,1,),"")&lt;&gt;""</f>
        <v>1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35">
      <c r="A985" t="s">
        <v>2752</v>
      </c>
      <c r="B985" t="s">
        <v>4475</v>
      </c>
      <c r="D985" t="b">
        <f>IFERROR(VLOOKUP(B985,PatData!$A$2:$A$2000,1,),"")&lt;&gt;""</f>
        <v>1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35">
      <c r="A986" t="s">
        <v>2763</v>
      </c>
      <c r="B986" t="s">
        <v>4476</v>
      </c>
      <c r="D986" t="b">
        <f>IFERROR(VLOOKUP(B986,PatData!$A$2:$A$2000,1,),"")&lt;&gt;""</f>
        <v>1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35">
      <c r="A987" t="s">
        <v>2766</v>
      </c>
      <c r="B987" t="s">
        <v>4477</v>
      </c>
      <c r="D987" t="b">
        <f>IFERROR(VLOOKUP(B987,PatData!$A$2:$A$2000,1,),"")&lt;&gt;""</f>
        <v>1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35">
      <c r="A988" t="s">
        <v>2767</v>
      </c>
      <c r="B988" t="s">
        <v>4478</v>
      </c>
      <c r="D988" t="b">
        <f>IFERROR(VLOOKUP(B988,PatData!$A$2:$A$2000,1,),"")&lt;&gt;""</f>
        <v>1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35">
      <c r="A989" t="s">
        <v>2768</v>
      </c>
      <c r="B989" t="s">
        <v>4479</v>
      </c>
      <c r="D989" t="b">
        <f>IFERROR(VLOOKUP(B989,PatData!$A$2:$A$2000,1,),"")&lt;&gt;""</f>
        <v>1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35">
      <c r="A990" t="s">
        <v>2769</v>
      </c>
      <c r="B990" t="s">
        <v>4480</v>
      </c>
      <c r="D990" t="b">
        <f>IFERROR(VLOOKUP(B990,PatData!$A$2:$A$2000,1,),"")&lt;&gt;""</f>
        <v>1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35">
      <c r="A991" t="s">
        <v>2770</v>
      </c>
      <c r="B991" t="s">
        <v>4481</v>
      </c>
      <c r="D991" t="b">
        <f>IFERROR(VLOOKUP(B991,PatData!$A$2:$A$2000,1,),"")&lt;&gt;""</f>
        <v>1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35">
      <c r="A992" t="s">
        <v>2771</v>
      </c>
      <c r="B992" t="s">
        <v>4482</v>
      </c>
      <c r="D992" t="b">
        <f>IFERROR(VLOOKUP(B992,PatData!$A$2:$A$2000,1,),"")&lt;&gt;""</f>
        <v>1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35">
      <c r="A993" t="s">
        <v>2742</v>
      </c>
      <c r="B993" t="s">
        <v>4483</v>
      </c>
      <c r="D993" t="b">
        <f>IFERROR(VLOOKUP(B993,PatData!$A$2:$A$2000,1,),"")&lt;&gt;""</f>
        <v>1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35">
      <c r="A994" t="s">
        <v>2743</v>
      </c>
      <c r="B994" t="s">
        <v>4484</v>
      </c>
      <c r="D994" t="b">
        <f>IFERROR(VLOOKUP(B994,PatData!$A$2:$A$2000,1,),"")&lt;&gt;""</f>
        <v>1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35">
      <c r="A995" t="s">
        <v>2744</v>
      </c>
      <c r="B995" t="s">
        <v>4485</v>
      </c>
      <c r="D995" t="b">
        <f>IFERROR(VLOOKUP(B995,PatData!$A$2:$A$2000,1,),"")&lt;&gt;""</f>
        <v>1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35">
      <c r="A996" t="s">
        <v>2745</v>
      </c>
      <c r="B996" t="s">
        <v>4486</v>
      </c>
      <c r="D996" t="b">
        <f>IFERROR(VLOOKUP(B996,PatData!$A$2:$A$2000,1,),"")&lt;&gt;""</f>
        <v>1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35">
      <c r="A997" t="s">
        <v>2746</v>
      </c>
      <c r="B997" t="s">
        <v>4487</v>
      </c>
      <c r="D997" t="b">
        <f>IFERROR(VLOOKUP(B997,PatData!$A$2:$A$2000,1,),"")&lt;&gt;""</f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35">
      <c r="A998" t="s">
        <v>2747</v>
      </c>
      <c r="B998" t="s">
        <v>4488</v>
      </c>
      <c r="D998" t="b">
        <f>IFERROR(VLOOKUP(B998,PatData!$A$2:$A$2000,1,),"")&lt;&gt;""</f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35">
      <c r="A999" t="s">
        <v>2748</v>
      </c>
      <c r="B999" t="s">
        <v>4489</v>
      </c>
      <c r="D999" t="b">
        <f>IFERROR(VLOOKUP(B999,PatData!$A$2:$A$2000,1,),"")&lt;&gt;""</f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35">
      <c r="A1000" t="s">
        <v>2749</v>
      </c>
      <c r="B1000" t="s">
        <v>4490</v>
      </c>
      <c r="D1000" t="b">
        <f>IFERROR(VLOOKUP(B1000,PatData!$A$2:$A$2000,1,),"")&lt;&gt;""</f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35">
      <c r="A1001" t="s">
        <v>2750</v>
      </c>
      <c r="B1001" t="s">
        <v>4491</v>
      </c>
      <c r="D1001" t="b">
        <f>IFERROR(VLOOKUP(B1001,PatData!$A$2:$A$2000,1,),"")&lt;&gt;""</f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35">
      <c r="A1002" t="s">
        <v>2751</v>
      </c>
      <c r="B1002" t="s">
        <v>4492</v>
      </c>
      <c r="D1002" t="b">
        <f>IFERROR(VLOOKUP(B1002,PatData!$A$2:$A$2000,1,),"")&lt;&gt;""</f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35">
      <c r="A1003" t="s">
        <v>2753</v>
      </c>
      <c r="B1003" t="s">
        <v>4493</v>
      </c>
      <c r="D1003" t="b">
        <f>IFERROR(VLOOKUP(B1003,PatData!$A$2:$A$2000,1,),"")&lt;&gt;""</f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35">
      <c r="A1004" t="s">
        <v>2754</v>
      </c>
      <c r="B1004" t="s">
        <v>4494</v>
      </c>
      <c r="D1004" t="b">
        <f>IFERROR(VLOOKUP(B1004,PatData!$A$2:$A$2000,1,),"")&lt;&gt;""</f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35">
      <c r="A1005" t="s">
        <v>2755</v>
      </c>
      <c r="B1005" t="s">
        <v>4495</v>
      </c>
      <c r="D1005" t="b">
        <f>IFERROR(VLOOKUP(B1005,PatData!$A$2:$A$2000,1,),"")&lt;&gt;""</f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35">
      <c r="A1006" t="s">
        <v>2756</v>
      </c>
      <c r="B1006" t="s">
        <v>4496</v>
      </c>
      <c r="D1006" t="b">
        <f>IFERROR(VLOOKUP(B1006,PatData!$A$2:$A$2000,1,),"")&lt;&gt;""</f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35">
      <c r="A1007" t="s">
        <v>2757</v>
      </c>
      <c r="B1007" t="s">
        <v>4497</v>
      </c>
      <c r="D1007" t="b">
        <f>IFERROR(VLOOKUP(B1007,PatData!$A$2:$A$2000,1,),"")&lt;&gt;""</f>
        <v>1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35">
      <c r="A1008" t="s">
        <v>2758</v>
      </c>
      <c r="B1008" t="s">
        <v>4498</v>
      </c>
      <c r="D1008" t="b">
        <f>IFERROR(VLOOKUP(B1008,PatData!$A$2:$A$2000,1,),"")&lt;&gt;""</f>
        <v>1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35">
      <c r="A1009" t="s">
        <v>2759</v>
      </c>
      <c r="B1009" t="s">
        <v>4499</v>
      </c>
      <c r="D1009" t="b">
        <f>IFERROR(VLOOKUP(B1009,PatData!$A$2:$A$2000,1,),"")&lt;&gt;""</f>
        <v>1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35">
      <c r="A1010" t="s">
        <v>2760</v>
      </c>
      <c r="B1010" t="s">
        <v>4500</v>
      </c>
      <c r="D1010" t="b">
        <f>IFERROR(VLOOKUP(B1010,PatData!$A$2:$A$2000,1,),"")&lt;&gt;""</f>
        <v>1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35">
      <c r="A1011" t="s">
        <v>2761</v>
      </c>
      <c r="B1011" t="s">
        <v>4501</v>
      </c>
      <c r="D1011" t="b">
        <f>IFERROR(VLOOKUP(B1011,PatData!$A$2:$A$2000,1,),"")&lt;&gt;""</f>
        <v>1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35">
      <c r="A1012" t="s">
        <v>2762</v>
      </c>
      <c r="B1012" t="s">
        <v>4502</v>
      </c>
      <c r="D1012" t="b">
        <f>IFERROR(VLOOKUP(B1012,PatData!$A$2:$A$2000,1,),"")&lt;&gt;""</f>
        <v>1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35">
      <c r="A1013" t="s">
        <v>2764</v>
      </c>
      <c r="B1013" t="s">
        <v>4503</v>
      </c>
      <c r="D1013" t="b">
        <f>IFERROR(VLOOKUP(B1013,PatData!$A$2:$A$2000,1,),"")&lt;&gt;""</f>
        <v>1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35">
      <c r="A1014" t="s">
        <v>2765</v>
      </c>
      <c r="B1014" t="s">
        <v>4504</v>
      </c>
      <c r="D1014" t="b">
        <f>IFERROR(VLOOKUP(B1014,PatData!$A$2:$A$2000,1,),"")&lt;&gt;""</f>
        <v>1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35">
      <c r="A1015" t="s">
        <v>2772</v>
      </c>
      <c r="B1015" t="s">
        <v>4505</v>
      </c>
      <c r="D1015" t="b">
        <f>IFERROR(VLOOKUP(B1015,PatData!$A$2:$A$2000,1,),"")&lt;&gt;""</f>
        <v>1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35">
      <c r="A1016" t="s">
        <v>2783</v>
      </c>
      <c r="B1016" t="s">
        <v>4506</v>
      </c>
      <c r="D1016" t="b">
        <f>IFERROR(VLOOKUP(B1016,PatData!$A$2:$A$2000,1,),"")&lt;&gt;""</f>
        <v>1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35">
      <c r="A1017" t="s">
        <v>2794</v>
      </c>
      <c r="B1017" t="s">
        <v>4507</v>
      </c>
      <c r="D1017" t="b">
        <f>IFERROR(VLOOKUP(B1017,PatData!$A$2:$A$2000,1,),"")&lt;&gt;""</f>
        <v>1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35">
      <c r="A1018" t="s">
        <v>2797</v>
      </c>
      <c r="B1018" t="s">
        <v>4508</v>
      </c>
      <c r="D1018" t="b">
        <f>IFERROR(VLOOKUP(B1018,PatData!$A$2:$A$2000,1,),"")&lt;&gt;""</f>
        <v>1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35">
      <c r="A1019" t="s">
        <v>2798</v>
      </c>
      <c r="B1019" t="s">
        <v>4509</v>
      </c>
      <c r="D1019" t="b">
        <f>IFERROR(VLOOKUP(B1019,PatData!$A$2:$A$2000,1,),"")&lt;&gt;""</f>
        <v>1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35">
      <c r="A1020" t="s">
        <v>2799</v>
      </c>
      <c r="B1020" t="s">
        <v>4510</v>
      </c>
      <c r="D1020" t="b">
        <f>IFERROR(VLOOKUP(B1020,PatData!$A$2:$A$2000,1,),"")&lt;&gt;""</f>
        <v>1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35">
      <c r="A1021" t="s">
        <v>2800</v>
      </c>
      <c r="B1021" t="s">
        <v>4511</v>
      </c>
      <c r="D1021" t="b">
        <f>IFERROR(VLOOKUP(B1021,PatData!$A$2:$A$2000,1,),"")&lt;&gt;""</f>
        <v>1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35">
      <c r="A1022" t="s">
        <v>2801</v>
      </c>
      <c r="B1022" t="s">
        <v>4512</v>
      </c>
      <c r="D1022" t="b">
        <f>IFERROR(VLOOKUP(B1022,PatData!$A$2:$A$2000,1,),"")&lt;&gt;""</f>
        <v>1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35">
      <c r="A1023" t="s">
        <v>2802</v>
      </c>
      <c r="B1023" t="s">
        <v>4513</v>
      </c>
      <c r="D1023" t="b">
        <f>IFERROR(VLOOKUP(B1023,PatData!$A$2:$A$2000,1,),"")&lt;&gt;""</f>
        <v>1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35">
      <c r="A1024" t="s">
        <v>2773</v>
      </c>
      <c r="B1024" t="s">
        <v>4514</v>
      </c>
      <c r="D1024" t="b">
        <f>IFERROR(VLOOKUP(B1024,PatData!$A$2:$A$2000,1,),"")&lt;&gt;""</f>
        <v>1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35">
      <c r="A1025" t="s">
        <v>2774</v>
      </c>
      <c r="B1025" t="s">
        <v>4515</v>
      </c>
      <c r="D1025" t="b">
        <f>IFERROR(VLOOKUP(B1025,PatData!$A$2:$A$2000,1,),"")&lt;&gt;""</f>
        <v>1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35">
      <c r="A1026" t="s">
        <v>2775</v>
      </c>
      <c r="B1026" t="s">
        <v>4516</v>
      </c>
      <c r="D1026" t="b">
        <f>IFERROR(VLOOKUP(B1026,PatData!$A$2:$A$2000,1,),"")&lt;&gt;""</f>
        <v>1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35">
      <c r="A1027" t="s">
        <v>2776</v>
      </c>
      <c r="B1027" t="s">
        <v>4517</v>
      </c>
      <c r="D1027" t="b">
        <f>IFERROR(VLOOKUP(B1027,PatData!$A$2:$A$2000,1,),"")&lt;&gt;""</f>
        <v>1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35">
      <c r="A1028" t="s">
        <v>2777</v>
      </c>
      <c r="B1028" t="s">
        <v>4518</v>
      </c>
      <c r="D1028" t="b">
        <f>IFERROR(VLOOKUP(B1028,PatData!$A$2:$A$2000,1,),"")&lt;&gt;""</f>
        <v>1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35">
      <c r="A1029" t="s">
        <v>2778</v>
      </c>
      <c r="B1029" t="s">
        <v>4519</v>
      </c>
      <c r="D1029" t="b">
        <f>IFERROR(VLOOKUP(B1029,PatData!$A$2:$A$2000,1,),"")&lt;&gt;""</f>
        <v>1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35">
      <c r="A1030" t="s">
        <v>2779</v>
      </c>
      <c r="B1030" t="s">
        <v>4520</v>
      </c>
      <c r="D1030" t="b">
        <f>IFERROR(VLOOKUP(B1030,PatData!$A$2:$A$2000,1,),"")&lt;&gt;""</f>
        <v>1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35">
      <c r="A1031" t="s">
        <v>2780</v>
      </c>
      <c r="B1031" t="s">
        <v>4521</v>
      </c>
      <c r="D1031" t="b">
        <f>IFERROR(VLOOKUP(B1031,PatData!$A$2:$A$2000,1,),"")&lt;&gt;""</f>
        <v>1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35">
      <c r="A1032" t="s">
        <v>2781</v>
      </c>
      <c r="B1032" t="s">
        <v>4522</v>
      </c>
      <c r="D1032" t="b">
        <f>IFERROR(VLOOKUP(B1032,PatData!$A$2:$A$2000,1,),"")&lt;&gt;""</f>
        <v>1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35">
      <c r="A1033" t="s">
        <v>2782</v>
      </c>
      <c r="B1033" t="s">
        <v>4523</v>
      </c>
      <c r="D1033" t="b">
        <f>IFERROR(VLOOKUP(B1033,PatData!$A$2:$A$2000,1,),"")&lt;&gt;""</f>
        <v>1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35">
      <c r="A1034" t="s">
        <v>2784</v>
      </c>
      <c r="B1034" t="s">
        <v>4524</v>
      </c>
      <c r="D1034" t="b">
        <f>IFERROR(VLOOKUP(B1034,PatData!$A$2:$A$2000,1,),"")&lt;&gt;""</f>
        <v>1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35">
      <c r="A1035" t="s">
        <v>2785</v>
      </c>
      <c r="B1035" t="s">
        <v>4525</v>
      </c>
      <c r="D1035" t="b">
        <f>IFERROR(VLOOKUP(B1035,PatData!$A$2:$A$2000,1,),"")&lt;&gt;""</f>
        <v>1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35">
      <c r="A1036" t="s">
        <v>2786</v>
      </c>
      <c r="B1036" t="s">
        <v>4526</v>
      </c>
      <c r="D1036" t="b">
        <f>IFERROR(VLOOKUP(B1036,PatData!$A$2:$A$2000,1,),"")&lt;&gt;""</f>
        <v>1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35">
      <c r="A1037" t="s">
        <v>2787</v>
      </c>
      <c r="B1037" t="s">
        <v>4527</v>
      </c>
      <c r="D1037" t="b">
        <f>IFERROR(VLOOKUP(B1037,PatData!$A$2:$A$2000,1,),"")&lt;&gt;""</f>
        <v>1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35">
      <c r="A1038" t="s">
        <v>2788</v>
      </c>
      <c r="B1038" t="s">
        <v>4528</v>
      </c>
      <c r="D1038" t="b">
        <f>IFERROR(VLOOKUP(B1038,PatData!$A$2:$A$2000,1,),"")&lt;&gt;""</f>
        <v>1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35">
      <c r="A1039" t="s">
        <v>2789</v>
      </c>
      <c r="B1039" t="s">
        <v>4529</v>
      </c>
      <c r="D1039" t="b">
        <f>IFERROR(VLOOKUP(B1039,PatData!$A$2:$A$2000,1,),"")&lt;&gt;""</f>
        <v>1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35">
      <c r="A1040" t="s">
        <v>2790</v>
      </c>
      <c r="B1040" t="s">
        <v>4530</v>
      </c>
      <c r="D1040" t="b">
        <f>IFERROR(VLOOKUP(B1040,PatData!$A$2:$A$2000,1,),"")&lt;&gt;""</f>
        <v>1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35">
      <c r="A1041" t="s">
        <v>2791</v>
      </c>
      <c r="B1041" t="s">
        <v>4531</v>
      </c>
      <c r="D1041" t="b">
        <f>IFERROR(VLOOKUP(B1041,PatData!$A$2:$A$2000,1,),"")&lt;&gt;""</f>
        <v>1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35">
      <c r="A1042" t="s">
        <v>2792</v>
      </c>
      <c r="B1042" t="s">
        <v>4532</v>
      </c>
      <c r="D1042" t="b">
        <f>IFERROR(VLOOKUP(B1042,PatData!$A$2:$A$2000,1,),"")&lt;&gt;""</f>
        <v>1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35">
      <c r="A1043" t="s">
        <v>2793</v>
      </c>
      <c r="B1043" t="s">
        <v>4533</v>
      </c>
      <c r="D1043" t="b">
        <f>IFERROR(VLOOKUP(B1043,PatData!$A$2:$A$2000,1,),"")&lt;&gt;""</f>
        <v>1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35">
      <c r="A1044" t="s">
        <v>2795</v>
      </c>
      <c r="B1044" t="s">
        <v>4534</v>
      </c>
      <c r="D1044" t="b">
        <f>IFERROR(VLOOKUP(B1044,PatData!$A$2:$A$2000,1,),"")&lt;&gt;""</f>
        <v>1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35">
      <c r="A1045" t="s">
        <v>2796</v>
      </c>
      <c r="B1045" t="s">
        <v>4535</v>
      </c>
      <c r="D1045" t="b">
        <f>IFERROR(VLOOKUP(B1045,PatData!$A$2:$A$2000,1,),"")&lt;&gt;""</f>
        <v>1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35">
      <c r="A1046" t="s">
        <v>2803</v>
      </c>
      <c r="B1046" t="s">
        <v>4536</v>
      </c>
      <c r="D1046" t="b">
        <f>IFERROR(VLOOKUP(B1046,PatData!$A$2:$A$2000,1,),"")&lt;&gt;""</f>
        <v>1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35">
      <c r="A1047" t="s">
        <v>2814</v>
      </c>
      <c r="B1047" t="s">
        <v>4537</v>
      </c>
      <c r="D1047" t="b">
        <f>IFERROR(VLOOKUP(B1047,PatData!$A$2:$A$2000,1,),"")&lt;&gt;""</f>
        <v>1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35">
      <c r="A1048" t="s">
        <v>2825</v>
      </c>
      <c r="B1048" t="s">
        <v>4538</v>
      </c>
      <c r="D1048" t="b">
        <f>IFERROR(VLOOKUP(B1048,PatData!$A$2:$A$2000,1,),"")&lt;&gt;""</f>
        <v>1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35">
      <c r="A1049" t="s">
        <v>2828</v>
      </c>
      <c r="B1049" t="s">
        <v>4539</v>
      </c>
      <c r="D1049" t="b">
        <f>IFERROR(VLOOKUP(B1049,PatData!$A$2:$A$2000,1,),"")&lt;&gt;""</f>
        <v>1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35">
      <c r="A1050" t="s">
        <v>2829</v>
      </c>
      <c r="B1050" t="s">
        <v>4540</v>
      </c>
      <c r="D1050" t="b">
        <f>IFERROR(VLOOKUP(B1050,PatData!$A$2:$A$2000,1,),"")&lt;&gt;""</f>
        <v>1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35">
      <c r="A1051" t="s">
        <v>2830</v>
      </c>
      <c r="B1051" t="s">
        <v>4541</v>
      </c>
      <c r="D1051" t="b">
        <f>IFERROR(VLOOKUP(B1051,PatData!$A$2:$A$2000,1,),"")&lt;&gt;""</f>
        <v>1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35">
      <c r="A1052" t="s">
        <v>2831</v>
      </c>
      <c r="B1052" t="s">
        <v>4542</v>
      </c>
      <c r="D1052" t="b">
        <f>IFERROR(VLOOKUP(B1052,PatData!$A$2:$A$2000,1,),"")&lt;&gt;""</f>
        <v>1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35">
      <c r="A1053" t="s">
        <v>2832</v>
      </c>
      <c r="B1053" t="s">
        <v>4543</v>
      </c>
      <c r="D1053" t="b">
        <f>IFERROR(VLOOKUP(B1053,PatData!$A$2:$A$2000,1,),"")&lt;&gt;""</f>
        <v>1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35">
      <c r="A1054" t="s">
        <v>2833</v>
      </c>
      <c r="B1054" t="s">
        <v>4544</v>
      </c>
      <c r="D1054" t="b">
        <f>IFERROR(VLOOKUP(B1054,PatData!$A$2:$A$2000,1,),"")&lt;&gt;""</f>
        <v>1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35">
      <c r="A1055" t="s">
        <v>2804</v>
      </c>
      <c r="B1055" t="s">
        <v>4545</v>
      </c>
      <c r="D1055" t="b">
        <f>IFERROR(VLOOKUP(B1055,PatData!$A$2:$A$2000,1,),"")&lt;&gt;""</f>
        <v>1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35">
      <c r="A1056" t="s">
        <v>2805</v>
      </c>
      <c r="B1056" t="s">
        <v>4546</v>
      </c>
      <c r="D1056" t="b">
        <f>IFERROR(VLOOKUP(B1056,PatData!$A$2:$A$2000,1,),"")&lt;&gt;""</f>
        <v>1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35">
      <c r="A1057" t="s">
        <v>2806</v>
      </c>
      <c r="B1057" t="s">
        <v>4547</v>
      </c>
      <c r="D1057" t="b">
        <f>IFERROR(VLOOKUP(B1057,PatData!$A$2:$A$2000,1,),"")&lt;&gt;""</f>
        <v>1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35">
      <c r="A1058" t="s">
        <v>2807</v>
      </c>
      <c r="B1058" t="s">
        <v>4548</v>
      </c>
      <c r="D1058" t="b">
        <f>IFERROR(VLOOKUP(B1058,PatData!$A$2:$A$2000,1,),"")&lt;&gt;""</f>
        <v>1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35">
      <c r="A1059" t="s">
        <v>2808</v>
      </c>
      <c r="B1059" t="s">
        <v>4549</v>
      </c>
      <c r="D1059" t="b">
        <f>IFERROR(VLOOKUP(B1059,PatData!$A$2:$A$2000,1,),"")&lt;&gt;""</f>
        <v>1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35">
      <c r="A1060" t="s">
        <v>2809</v>
      </c>
      <c r="B1060" t="s">
        <v>4550</v>
      </c>
      <c r="D1060" t="b">
        <f>IFERROR(VLOOKUP(B1060,PatData!$A$2:$A$2000,1,),"")&lt;&gt;""</f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35">
      <c r="A1061" t="s">
        <v>2810</v>
      </c>
      <c r="B1061" t="s">
        <v>4551</v>
      </c>
      <c r="D1061" t="b">
        <f>IFERROR(VLOOKUP(B1061,PatData!$A$2:$A$2000,1,),"")&lt;&gt;""</f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35">
      <c r="A1062" t="s">
        <v>2811</v>
      </c>
      <c r="B1062" t="s">
        <v>4552</v>
      </c>
      <c r="D1062" t="b">
        <f>IFERROR(VLOOKUP(B1062,PatData!$A$2:$A$2000,1,),"")&lt;&gt;""</f>
        <v>1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35">
      <c r="A1063" t="s">
        <v>2812</v>
      </c>
      <c r="B1063" t="s">
        <v>4553</v>
      </c>
      <c r="D1063" t="b">
        <f>IFERROR(VLOOKUP(B1063,PatData!$A$2:$A$2000,1,),"")&lt;&gt;""</f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35">
      <c r="A1064" t="s">
        <v>2813</v>
      </c>
      <c r="B1064" t="s">
        <v>4554</v>
      </c>
      <c r="D1064" t="b">
        <f>IFERROR(VLOOKUP(B1064,PatData!$A$2:$A$2000,1,),"")&lt;&gt;""</f>
        <v>1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35">
      <c r="A1065" t="s">
        <v>2815</v>
      </c>
      <c r="B1065" t="s">
        <v>4555</v>
      </c>
      <c r="D1065" t="b">
        <f>IFERROR(VLOOKUP(B1065,PatData!$A$2:$A$2000,1,),"")&lt;&gt;""</f>
        <v>1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35">
      <c r="A1066" t="s">
        <v>2816</v>
      </c>
      <c r="B1066" t="s">
        <v>4556</v>
      </c>
      <c r="D1066" t="b">
        <f>IFERROR(VLOOKUP(B1066,PatData!$A$2:$A$2000,1,),"")&lt;&gt;""</f>
        <v>1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35">
      <c r="A1067" t="s">
        <v>2817</v>
      </c>
      <c r="B1067" t="s">
        <v>4557</v>
      </c>
      <c r="D1067" t="b">
        <f>IFERROR(VLOOKUP(B1067,PatData!$A$2:$A$2000,1,),"")&lt;&gt;""</f>
        <v>1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35">
      <c r="A1068" t="s">
        <v>2818</v>
      </c>
      <c r="B1068" t="s">
        <v>4558</v>
      </c>
      <c r="D1068" t="b">
        <f>IFERROR(VLOOKUP(B1068,PatData!$A$2:$A$2000,1,),"")&lt;&gt;""</f>
        <v>1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35">
      <c r="A1069" t="s">
        <v>2819</v>
      </c>
      <c r="B1069" t="s">
        <v>4559</v>
      </c>
      <c r="D1069" t="b">
        <f>IFERROR(VLOOKUP(B1069,PatData!$A$2:$A$2000,1,),"")&lt;&gt;""</f>
        <v>1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35">
      <c r="A1070" t="s">
        <v>2820</v>
      </c>
      <c r="B1070" t="s">
        <v>4560</v>
      </c>
      <c r="D1070" t="b">
        <f>IFERROR(VLOOKUP(B1070,PatData!$A$2:$A$2000,1,),"")&lt;&gt;""</f>
        <v>1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35">
      <c r="A1071" t="s">
        <v>2821</v>
      </c>
      <c r="B1071" t="s">
        <v>4561</v>
      </c>
      <c r="D1071" t="b">
        <f>IFERROR(VLOOKUP(B1071,PatData!$A$2:$A$2000,1,),"")&lt;&gt;""</f>
        <v>1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35">
      <c r="A1072" t="s">
        <v>2822</v>
      </c>
      <c r="B1072" t="s">
        <v>4562</v>
      </c>
      <c r="D1072" t="b">
        <f>IFERROR(VLOOKUP(B1072,PatData!$A$2:$A$2000,1,),"")&lt;&gt;""</f>
        <v>1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35">
      <c r="A1073" t="s">
        <v>2823</v>
      </c>
      <c r="B1073" t="s">
        <v>4563</v>
      </c>
      <c r="D1073" t="b">
        <f>IFERROR(VLOOKUP(B1073,PatData!$A$2:$A$2000,1,),"")&lt;&gt;""</f>
        <v>1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35">
      <c r="A1074" t="s">
        <v>2824</v>
      </c>
      <c r="B1074" t="s">
        <v>4564</v>
      </c>
      <c r="D1074" t="b">
        <f>IFERROR(VLOOKUP(B1074,PatData!$A$2:$A$2000,1,),"")&lt;&gt;""</f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35">
      <c r="A1075" t="s">
        <v>2826</v>
      </c>
      <c r="B1075" t="s">
        <v>4565</v>
      </c>
      <c r="D1075" t="b">
        <f>IFERROR(VLOOKUP(B1075,PatData!$A$2:$A$2000,1,),"")&lt;&gt;""</f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35">
      <c r="A1076" t="s">
        <v>2827</v>
      </c>
      <c r="B1076" t="s">
        <v>4566</v>
      </c>
      <c r="D1076" t="b">
        <f>IFERROR(VLOOKUP(B1076,PatData!$A$2:$A$2000,1,),"")&lt;&gt;""</f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35">
      <c r="A1077" t="s">
        <v>2834</v>
      </c>
      <c r="B1077" t="s">
        <v>4567</v>
      </c>
      <c r="D1077" t="b">
        <f>IFERROR(VLOOKUP(B1077,PatData!$A$2:$A$2000,1,),"")&lt;&gt;""</f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35">
      <c r="A1078" t="s">
        <v>2845</v>
      </c>
      <c r="B1078" t="s">
        <v>4568</v>
      </c>
      <c r="D1078" t="b">
        <f>IFERROR(VLOOKUP(B1078,PatData!$A$2:$A$2000,1,),"")&lt;&gt;""</f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35">
      <c r="A1079" t="s">
        <v>2856</v>
      </c>
      <c r="B1079" t="s">
        <v>4569</v>
      </c>
      <c r="D1079" t="b">
        <f>IFERROR(VLOOKUP(B1079,PatData!$A$2:$A$2000,1,),"")&lt;&gt;""</f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35">
      <c r="A1080" t="s">
        <v>2859</v>
      </c>
      <c r="B1080" t="s">
        <v>4570</v>
      </c>
      <c r="D1080" t="b">
        <f>IFERROR(VLOOKUP(B1080,PatData!$A$2:$A$2000,1,),"")&lt;&gt;""</f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35">
      <c r="A1081" t="s">
        <v>2860</v>
      </c>
      <c r="B1081" t="s">
        <v>4571</v>
      </c>
      <c r="D1081" t="b">
        <f>IFERROR(VLOOKUP(B1081,PatData!$A$2:$A$2000,1,),"")&lt;&gt;""</f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35">
      <c r="A1082" t="s">
        <v>2861</v>
      </c>
      <c r="B1082" t="s">
        <v>4572</v>
      </c>
      <c r="D1082" t="b">
        <f>IFERROR(VLOOKUP(B1082,PatData!$A$2:$A$2000,1,),"")&lt;&gt;""</f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35">
      <c r="A1083" t="s">
        <v>2862</v>
      </c>
      <c r="B1083" t="s">
        <v>4573</v>
      </c>
      <c r="D1083" t="b">
        <f>IFERROR(VLOOKUP(B1083,PatData!$A$2:$A$2000,1,),"")&lt;&gt;""</f>
        <v>1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35">
      <c r="A1084" t="s">
        <v>2863</v>
      </c>
      <c r="B1084" t="s">
        <v>4574</v>
      </c>
      <c r="D1084" t="b">
        <f>IFERROR(VLOOKUP(B1084,PatData!$A$2:$A$2000,1,),"")&lt;&gt;""</f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35">
      <c r="A1085" t="s">
        <v>2864</v>
      </c>
      <c r="B1085" t="s">
        <v>4575</v>
      </c>
      <c r="D1085" t="b">
        <f>IFERROR(VLOOKUP(B1085,PatData!$A$2:$A$2000,1,),"")&lt;&gt;""</f>
        <v>1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35">
      <c r="A1086" t="s">
        <v>2835</v>
      </c>
      <c r="B1086" t="s">
        <v>4576</v>
      </c>
      <c r="D1086" t="b">
        <f>IFERROR(VLOOKUP(B1086,PatData!$A$2:$A$2000,1,),"")&lt;&gt;""</f>
        <v>1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35">
      <c r="A1087" t="s">
        <v>2836</v>
      </c>
      <c r="B1087" t="s">
        <v>4577</v>
      </c>
      <c r="D1087" t="b">
        <f>IFERROR(VLOOKUP(B1087,PatData!$A$2:$A$2000,1,),"")&lt;&gt;""</f>
        <v>1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35">
      <c r="A1088" t="s">
        <v>2837</v>
      </c>
      <c r="B1088" t="s">
        <v>4578</v>
      </c>
      <c r="D1088" t="b">
        <f>IFERROR(VLOOKUP(B1088,PatData!$A$2:$A$2000,1,),"")&lt;&gt;""</f>
        <v>1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35">
      <c r="A1089" t="s">
        <v>2838</v>
      </c>
      <c r="B1089" t="s">
        <v>4579</v>
      </c>
      <c r="D1089" t="b">
        <f>IFERROR(VLOOKUP(B1089,PatData!$A$2:$A$2000,1,),"")&lt;&gt;""</f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35">
      <c r="A1090" t="s">
        <v>2839</v>
      </c>
      <c r="B1090" t="s">
        <v>4580</v>
      </c>
      <c r="D1090" t="b">
        <f>IFERROR(VLOOKUP(B1090,PatData!$A$2:$A$2000,1,),"")&lt;&gt;""</f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35">
      <c r="A1091" t="s">
        <v>2840</v>
      </c>
      <c r="B1091" t="s">
        <v>4581</v>
      </c>
      <c r="D1091" t="b">
        <f>IFERROR(VLOOKUP(B1091,PatData!$A$2:$A$2000,1,),"")&lt;&gt;""</f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35">
      <c r="A1092" t="s">
        <v>2841</v>
      </c>
      <c r="B1092" t="s">
        <v>4582</v>
      </c>
      <c r="D1092" t="b">
        <f>IFERROR(VLOOKUP(B1092,PatData!$A$2:$A$2000,1,),"")&lt;&gt;""</f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35">
      <c r="A1093" t="s">
        <v>2842</v>
      </c>
      <c r="B1093" t="s">
        <v>4583</v>
      </c>
      <c r="D1093" t="b">
        <f>IFERROR(VLOOKUP(B1093,PatData!$A$2:$A$2000,1,),"")&lt;&gt;""</f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35">
      <c r="A1094" t="s">
        <v>2843</v>
      </c>
      <c r="B1094" t="s">
        <v>4584</v>
      </c>
      <c r="D1094" t="b">
        <f>IFERROR(VLOOKUP(B1094,PatData!$A$2:$A$2000,1,),"")&lt;&gt;""</f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35">
      <c r="A1095" t="s">
        <v>2844</v>
      </c>
      <c r="B1095" t="s">
        <v>4585</v>
      </c>
      <c r="D1095" t="b">
        <f>IFERROR(VLOOKUP(B1095,PatData!$A$2:$A$2000,1,),"")&lt;&gt;""</f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35">
      <c r="A1096" t="s">
        <v>2846</v>
      </c>
      <c r="B1096" t="s">
        <v>4586</v>
      </c>
      <c r="D1096" t="b">
        <f>IFERROR(VLOOKUP(B1096,PatData!$A$2:$A$2000,1,),"")&lt;&gt;""</f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35">
      <c r="A1097" t="s">
        <v>2847</v>
      </c>
      <c r="B1097" t="s">
        <v>4587</v>
      </c>
      <c r="D1097" t="b">
        <f>IFERROR(VLOOKUP(B1097,PatData!$A$2:$A$2000,1,),"")&lt;&gt;""</f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35">
      <c r="A1098" t="s">
        <v>2848</v>
      </c>
      <c r="B1098" t="s">
        <v>4588</v>
      </c>
      <c r="D1098" t="b">
        <f>IFERROR(VLOOKUP(B1098,PatData!$A$2:$A$2000,1,),"")&lt;&gt;""</f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35">
      <c r="A1099" t="s">
        <v>2849</v>
      </c>
      <c r="B1099" t="s">
        <v>4589</v>
      </c>
      <c r="D1099" t="b">
        <f>IFERROR(VLOOKUP(B1099,PatData!$A$2:$A$2000,1,),"")&lt;&gt;""</f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35">
      <c r="A1100" t="s">
        <v>2850</v>
      </c>
      <c r="B1100" t="s">
        <v>4590</v>
      </c>
      <c r="D1100" t="b">
        <f>IFERROR(VLOOKUP(B1100,PatData!$A$2:$A$2000,1,),"")&lt;&gt;""</f>
        <v>1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35">
      <c r="A1101" t="s">
        <v>2851</v>
      </c>
      <c r="B1101" t="s">
        <v>4591</v>
      </c>
      <c r="D1101" t="b">
        <f>IFERROR(VLOOKUP(B1101,PatData!$A$2:$A$2000,1,),"")&lt;&gt;""</f>
        <v>1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35">
      <c r="A1102" t="s">
        <v>2852</v>
      </c>
      <c r="B1102" t="s">
        <v>4592</v>
      </c>
      <c r="D1102" t="b">
        <f>IFERROR(VLOOKUP(B1102,PatData!$A$2:$A$2000,1,),"")&lt;&gt;""</f>
        <v>1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35">
      <c r="A1103" t="s">
        <v>2853</v>
      </c>
      <c r="B1103" t="s">
        <v>4593</v>
      </c>
      <c r="D1103" t="b">
        <f>IFERROR(VLOOKUP(B1103,PatData!$A$2:$A$2000,1,),"")&lt;&gt;""</f>
        <v>1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35">
      <c r="A1104" t="s">
        <v>2854</v>
      </c>
      <c r="B1104" t="s">
        <v>4594</v>
      </c>
      <c r="D1104" t="b">
        <f>IFERROR(VLOOKUP(B1104,PatData!$A$2:$A$2000,1,),"")&lt;&gt;""</f>
        <v>1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35">
      <c r="A1105" t="s">
        <v>2855</v>
      </c>
      <c r="B1105" t="s">
        <v>4595</v>
      </c>
      <c r="D1105" t="b">
        <f>IFERROR(VLOOKUP(B1105,PatData!$A$2:$A$2000,1,),"")&lt;&gt;""</f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35">
      <c r="A1106" t="s">
        <v>2857</v>
      </c>
      <c r="B1106" t="s">
        <v>4596</v>
      </c>
      <c r="D1106" t="b">
        <f>IFERROR(VLOOKUP(B1106,PatData!$A$2:$A$2000,1,),"")&lt;&gt;""</f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35">
      <c r="A1107" t="s">
        <v>2858</v>
      </c>
      <c r="B1107" t="s">
        <v>4597</v>
      </c>
      <c r="D1107" t="b">
        <f>IFERROR(VLOOKUP(B1107,PatData!$A$2:$A$2000,1,),"")&lt;&gt;""</f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35">
      <c r="A1108" t="s">
        <v>2865</v>
      </c>
      <c r="B1108" t="s">
        <v>4598</v>
      </c>
      <c r="D1108" t="b">
        <f>IFERROR(VLOOKUP(B1108,PatData!$A$2:$A$2000,1,),"")&lt;&gt;""</f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35">
      <c r="A1109" t="s">
        <v>2866</v>
      </c>
      <c r="B1109" t="s">
        <v>4599</v>
      </c>
      <c r="D1109" t="b">
        <f>IFERROR(VLOOKUP(B1109,PatData!$A$2:$A$2000,1,),"")&lt;&gt;""</f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35">
      <c r="A1110" t="s">
        <v>2877</v>
      </c>
      <c r="B1110" t="s">
        <v>4600</v>
      </c>
      <c r="D1110" t="b">
        <f>IFERROR(VLOOKUP(B1110,PatData!$A$2:$A$2000,1,),"")&lt;&gt;""</f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35">
      <c r="A1111" t="s">
        <v>2888</v>
      </c>
      <c r="B1111" t="s">
        <v>4601</v>
      </c>
      <c r="D1111" t="b">
        <f>IFERROR(VLOOKUP(B1111,PatData!$A$2:$A$2000,1,),"")&lt;&gt;""</f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35">
      <c r="A1112" t="s">
        <v>2892</v>
      </c>
      <c r="B1112" t="s">
        <v>4602</v>
      </c>
      <c r="D1112" t="b">
        <f>IFERROR(VLOOKUP(B1112,PatData!$A$2:$A$2000,1,),"")&lt;&gt;""</f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35">
      <c r="A1113" t="s">
        <v>2893</v>
      </c>
      <c r="B1113" t="s">
        <v>4603</v>
      </c>
      <c r="D1113" t="b">
        <f>IFERROR(VLOOKUP(B1113,PatData!$A$2:$A$2000,1,),"")&lt;&gt;""</f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35">
      <c r="A1114" t="s">
        <v>2894</v>
      </c>
      <c r="B1114" t="s">
        <v>4604</v>
      </c>
      <c r="D1114" t="b">
        <f>IFERROR(VLOOKUP(B1114,PatData!$A$2:$A$2000,1,),"")&lt;&gt;""</f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35">
      <c r="A1115" t="s">
        <v>2895</v>
      </c>
      <c r="B1115" t="s">
        <v>4605</v>
      </c>
      <c r="D1115" t="b">
        <f>IFERROR(VLOOKUP(B1115,PatData!$A$2:$A$2000,1,),"")&lt;&gt;""</f>
        <v>1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35">
      <c r="A1116" t="s">
        <v>2896</v>
      </c>
      <c r="B1116" t="s">
        <v>4606</v>
      </c>
      <c r="D1116" t="b">
        <f>IFERROR(VLOOKUP(B1116,PatData!$A$2:$A$2000,1,),"")&lt;&gt;""</f>
        <v>1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35">
      <c r="A1117" t="s">
        <v>2897</v>
      </c>
      <c r="B1117" t="s">
        <v>4607</v>
      </c>
      <c r="D1117" t="b">
        <f>IFERROR(VLOOKUP(B1117,PatData!$A$2:$A$2000,1,),"")&lt;&gt;""</f>
        <v>1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35">
      <c r="A1118" t="s">
        <v>2867</v>
      </c>
      <c r="B1118" t="s">
        <v>4608</v>
      </c>
      <c r="D1118" t="b">
        <f>IFERROR(VLOOKUP(B1118,PatData!$A$2:$A$2000,1,),"")&lt;&gt;""</f>
        <v>1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35">
      <c r="A1119" t="s">
        <v>2868</v>
      </c>
      <c r="B1119" t="s">
        <v>4609</v>
      </c>
      <c r="D1119" t="b">
        <f>IFERROR(VLOOKUP(B1119,PatData!$A$2:$A$2000,1,),"")&lt;&gt;""</f>
        <v>1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35">
      <c r="A1120" t="s">
        <v>2869</v>
      </c>
      <c r="B1120" t="s">
        <v>4610</v>
      </c>
      <c r="D1120" t="b">
        <f>IFERROR(VLOOKUP(B1120,PatData!$A$2:$A$2000,1,),"")&lt;&gt;""</f>
        <v>1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35">
      <c r="A1121" t="s">
        <v>2870</v>
      </c>
      <c r="B1121" t="s">
        <v>4611</v>
      </c>
      <c r="D1121" t="b">
        <f>IFERROR(VLOOKUP(B1121,PatData!$A$2:$A$2000,1,),"")&lt;&gt;""</f>
        <v>1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35">
      <c r="A1122" t="s">
        <v>2871</v>
      </c>
      <c r="B1122" t="s">
        <v>4612</v>
      </c>
      <c r="D1122" t="b">
        <f>IFERROR(VLOOKUP(B1122,PatData!$A$2:$A$2000,1,),"")&lt;&gt;""</f>
        <v>1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35">
      <c r="A1123" t="s">
        <v>2872</v>
      </c>
      <c r="B1123" t="s">
        <v>4613</v>
      </c>
      <c r="D1123" t="b">
        <f>IFERROR(VLOOKUP(B1123,PatData!$A$2:$A$2000,1,),"")&lt;&gt;""</f>
        <v>1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35">
      <c r="A1124" t="s">
        <v>2873</v>
      </c>
      <c r="B1124" t="s">
        <v>4614</v>
      </c>
      <c r="D1124" t="b">
        <f>IFERROR(VLOOKUP(B1124,PatData!$A$2:$A$2000,1,),"")&lt;&gt;""</f>
        <v>1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35">
      <c r="A1125" t="s">
        <v>2874</v>
      </c>
      <c r="B1125" t="s">
        <v>4615</v>
      </c>
      <c r="D1125" t="b">
        <f>IFERROR(VLOOKUP(B1125,PatData!$A$2:$A$2000,1,),"")&lt;&gt;""</f>
        <v>1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35">
      <c r="A1126" t="s">
        <v>2875</v>
      </c>
      <c r="B1126" t="s">
        <v>4616</v>
      </c>
      <c r="D1126" t="b">
        <f>IFERROR(VLOOKUP(B1126,PatData!$A$2:$A$2000,1,),"")&lt;&gt;""</f>
        <v>1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35">
      <c r="A1127" t="s">
        <v>2876</v>
      </c>
      <c r="B1127" t="s">
        <v>4617</v>
      </c>
      <c r="D1127" t="b">
        <f>IFERROR(VLOOKUP(B1127,PatData!$A$2:$A$2000,1,),"")&lt;&gt;""</f>
        <v>1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35">
      <c r="A1128" t="s">
        <v>2878</v>
      </c>
      <c r="B1128" t="s">
        <v>4618</v>
      </c>
      <c r="D1128" t="b">
        <f>IFERROR(VLOOKUP(B1128,PatData!$A$2:$A$2000,1,),"")&lt;&gt;""</f>
        <v>1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35">
      <c r="A1129" t="s">
        <v>2879</v>
      </c>
      <c r="B1129" t="s">
        <v>4619</v>
      </c>
      <c r="D1129" t="b">
        <f>IFERROR(VLOOKUP(B1129,PatData!$A$2:$A$2000,1,),"")&lt;&gt;""</f>
        <v>1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35">
      <c r="A1130" t="s">
        <v>2880</v>
      </c>
      <c r="B1130" t="s">
        <v>4620</v>
      </c>
      <c r="D1130" t="b">
        <f>IFERROR(VLOOKUP(B1130,PatData!$A$2:$A$2000,1,),"")&lt;&gt;""</f>
        <v>1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35">
      <c r="A1131" t="s">
        <v>2881</v>
      </c>
      <c r="B1131" t="s">
        <v>4621</v>
      </c>
      <c r="D1131" t="b">
        <f>IFERROR(VLOOKUP(B1131,PatData!$A$2:$A$2000,1,),"")&lt;&gt;""</f>
        <v>1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35">
      <c r="A1132" t="s">
        <v>2882</v>
      </c>
      <c r="B1132" t="s">
        <v>4622</v>
      </c>
      <c r="D1132" t="b">
        <f>IFERROR(VLOOKUP(B1132,PatData!$A$2:$A$2000,1,),"")&lt;&gt;""</f>
        <v>1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35">
      <c r="A1133" t="s">
        <v>2883</v>
      </c>
      <c r="B1133" t="s">
        <v>4623</v>
      </c>
      <c r="D1133" t="b">
        <f>IFERROR(VLOOKUP(B1133,PatData!$A$2:$A$2000,1,),"")&lt;&gt;""</f>
        <v>1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35">
      <c r="A1134" t="s">
        <v>2884</v>
      </c>
      <c r="B1134" t="s">
        <v>4624</v>
      </c>
      <c r="D1134" t="b">
        <f>IFERROR(VLOOKUP(B1134,PatData!$A$2:$A$2000,1,),"")&lt;&gt;""</f>
        <v>1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35">
      <c r="A1135" t="s">
        <v>2885</v>
      </c>
      <c r="B1135" t="s">
        <v>4625</v>
      </c>
      <c r="D1135" t="b">
        <f>IFERROR(VLOOKUP(B1135,PatData!$A$2:$A$2000,1,),"")&lt;&gt;""</f>
        <v>1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35">
      <c r="A1136" t="s">
        <v>2886</v>
      </c>
      <c r="B1136" t="s">
        <v>4626</v>
      </c>
      <c r="D1136" t="b">
        <f>IFERROR(VLOOKUP(B1136,PatData!$A$2:$A$2000,1,),"")&lt;&gt;""</f>
        <v>1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35">
      <c r="A1137" t="s">
        <v>2887</v>
      </c>
      <c r="B1137" t="s">
        <v>4627</v>
      </c>
      <c r="D1137" t="b">
        <f>IFERROR(VLOOKUP(B1137,PatData!$A$2:$A$2000,1,),"")&lt;&gt;""</f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35">
      <c r="A1138" t="s">
        <v>2889</v>
      </c>
      <c r="B1138" t="s">
        <v>4628</v>
      </c>
      <c r="D1138" t="b">
        <f>IFERROR(VLOOKUP(B1138,PatData!$A$2:$A$2000,1,),"")&lt;&gt;""</f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35">
      <c r="A1139" t="s">
        <v>2890</v>
      </c>
      <c r="B1139" t="s">
        <v>4629</v>
      </c>
      <c r="D1139" t="b">
        <f>IFERROR(VLOOKUP(B1139,PatData!$A$2:$A$2000,1,),"")&lt;&gt;""</f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35">
      <c r="A1140" t="s">
        <v>2891</v>
      </c>
      <c r="B1140" t="s">
        <v>4630</v>
      </c>
      <c r="D1140" t="b">
        <f>IFERROR(VLOOKUP(B1140,PatData!$A$2:$A$2000,1,),"")&lt;&gt;""</f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35">
      <c r="A1141" t="s">
        <v>1317</v>
      </c>
      <c r="B1141" t="s">
        <v>4993</v>
      </c>
      <c r="D1141" t="b">
        <f>IFERROR(VLOOKUP(B1141,PatData!$A$2:$A$2000,1,),"")&lt;&gt;""</f>
        <v>1</v>
      </c>
      <c r="E1141">
        <v>0</v>
      </c>
      <c r="F1141" t="b">
        <v>0</v>
      </c>
      <c r="G1141" t="b">
        <v>1</v>
      </c>
      <c r="H1141" t="b">
        <v>0</v>
      </c>
      <c r="I1141" t="b">
        <v>0</v>
      </c>
    </row>
    <row r="1142" spans="1:9" x14ac:dyDescent="0.35">
      <c r="A1142" t="s">
        <v>2610</v>
      </c>
      <c r="B1142" t="s">
        <v>4997</v>
      </c>
      <c r="D1142" t="b">
        <f>IFERROR(VLOOKUP(B1142,PatData!$A$2:$A$2000,1,),"")&lt;&gt;""</f>
        <v>1</v>
      </c>
      <c r="E1142">
        <v>100</v>
      </c>
      <c r="F1142" t="b">
        <v>0</v>
      </c>
      <c r="G1142" t="b">
        <v>1</v>
      </c>
      <c r="H1142" t="b">
        <v>0</v>
      </c>
      <c r="I1142" t="b">
        <v>0</v>
      </c>
    </row>
    <row r="1143" spans="1:9" x14ac:dyDescent="0.35">
      <c r="A1143" t="s">
        <v>2898</v>
      </c>
      <c r="B1143" t="s">
        <v>4998</v>
      </c>
      <c r="D1143" t="b">
        <f>IFERROR(VLOOKUP(B1143,PatData!$A$2:$A$2000,1,),"")&lt;&gt;""</f>
        <v>1</v>
      </c>
      <c r="E1143">
        <v>80</v>
      </c>
      <c r="F1143" t="b">
        <v>0</v>
      </c>
      <c r="G1143" t="b">
        <v>1</v>
      </c>
      <c r="H1143" t="b">
        <v>0</v>
      </c>
      <c r="I1143" t="b">
        <v>0</v>
      </c>
    </row>
    <row r="1144" spans="1:9" x14ac:dyDescent="0.35">
      <c r="A1144" t="s">
        <v>2952</v>
      </c>
      <c r="B1144" t="s">
        <v>4992</v>
      </c>
      <c r="D1144" t="b">
        <f>IFERROR(VLOOKUP(B1144,PatData!$A$2:$A$2000,1,),"")&lt;&gt;""</f>
        <v>1</v>
      </c>
      <c r="E1144">
        <v>42370</v>
      </c>
      <c r="F1144" t="b">
        <v>0</v>
      </c>
      <c r="G1144" t="b">
        <v>1</v>
      </c>
      <c r="H1144" t="b">
        <v>0</v>
      </c>
      <c r="I1144" t="b">
        <v>0</v>
      </c>
    </row>
    <row r="1145" spans="1:9" x14ac:dyDescent="0.35">
      <c r="A1145" t="s">
        <v>2341</v>
      </c>
      <c r="B1145" t="s">
        <v>4994</v>
      </c>
      <c r="D1145" t="b">
        <f>IFERROR(VLOOKUP(B1145,PatData!$A$2:$A$2000,1,),"")&lt;&gt;""</f>
        <v>1</v>
      </c>
      <c r="E1145">
        <v>30</v>
      </c>
      <c r="F1145" t="b">
        <v>0</v>
      </c>
      <c r="G1145" t="b">
        <v>1</v>
      </c>
      <c r="H1145" t="b">
        <v>0</v>
      </c>
      <c r="I1145" t="b">
        <v>0</v>
      </c>
    </row>
    <row r="1146" spans="1:9" x14ac:dyDescent="0.35">
      <c r="A1146" t="s">
        <v>2533</v>
      </c>
      <c r="B1146" t="s">
        <v>3210</v>
      </c>
      <c r="D1146" t="b">
        <f>IFERROR(VLOOKUP(B1146,PatData!$A$2:$A$2000,1,),"")&lt;&gt;""</f>
        <v>1</v>
      </c>
      <c r="F1146" t="b">
        <v>0</v>
      </c>
      <c r="G1146" t="b">
        <v>1</v>
      </c>
      <c r="H1146" t="b">
        <v>0</v>
      </c>
      <c r="I1146" t="b">
        <v>1</v>
      </c>
    </row>
    <row r="1147" spans="1:9" x14ac:dyDescent="0.35">
      <c r="A1147" t="s">
        <v>2534</v>
      </c>
      <c r="B1147" t="s">
        <v>3211</v>
      </c>
      <c r="D1147" t="b">
        <f>IFERROR(VLOOKUP(B1147,PatData!$A$2:$A$2000,1,),"")&lt;&gt;""</f>
        <v>1</v>
      </c>
      <c r="F1147" t="b">
        <v>0</v>
      </c>
      <c r="G1147" t="b">
        <v>1</v>
      </c>
      <c r="H1147" t="b">
        <v>0</v>
      </c>
      <c r="I1147" t="b">
        <v>1</v>
      </c>
    </row>
    <row r="1148" spans="1:9" x14ac:dyDescent="0.35">
      <c r="A1148" t="s">
        <v>2535</v>
      </c>
      <c r="B1148" t="s">
        <v>3212</v>
      </c>
      <c r="D1148" t="b">
        <f>IFERROR(VLOOKUP(B1148,PatData!$A$2:$A$2000,1,),"")&lt;&gt;""</f>
        <v>1</v>
      </c>
      <c r="F1148" t="b">
        <v>0</v>
      </c>
      <c r="G1148" t="b">
        <v>1</v>
      </c>
      <c r="H1148" t="b">
        <v>0</v>
      </c>
      <c r="I1148" t="b">
        <v>1</v>
      </c>
    </row>
    <row r="1149" spans="1:9" x14ac:dyDescent="0.35">
      <c r="A1149" t="s">
        <v>2536</v>
      </c>
      <c r="B1149" t="s">
        <v>3213</v>
      </c>
      <c r="D1149" t="b">
        <f>IFERROR(VLOOKUP(B1149,PatData!$A$2:$A$2000,1,),"")&lt;&gt;""</f>
        <v>1</v>
      </c>
      <c r="F1149" t="b">
        <v>0</v>
      </c>
      <c r="G1149" t="b">
        <v>1</v>
      </c>
      <c r="H1149" t="b">
        <v>0</v>
      </c>
      <c r="I1149" t="b">
        <v>1</v>
      </c>
    </row>
    <row r="1150" spans="1:9" x14ac:dyDescent="0.35">
      <c r="A1150" t="s">
        <v>2537</v>
      </c>
      <c r="B1150" t="s">
        <v>3214</v>
      </c>
      <c r="D1150" t="b">
        <f>IFERROR(VLOOKUP(B1150,PatData!$A$2:$A$2000,1,),"")&lt;&gt;""</f>
        <v>1</v>
      </c>
      <c r="F1150" t="b">
        <v>0</v>
      </c>
      <c r="G1150" t="b">
        <v>1</v>
      </c>
      <c r="H1150" t="b">
        <v>0</v>
      </c>
      <c r="I1150" t="b">
        <v>1</v>
      </c>
    </row>
    <row r="1151" spans="1:9" x14ac:dyDescent="0.35">
      <c r="A1151" t="s">
        <v>2538</v>
      </c>
      <c r="B1151" t="s">
        <v>3215</v>
      </c>
      <c r="D1151" t="b">
        <f>IFERROR(VLOOKUP(B1151,PatData!$A$2:$A$2000,1,),"")&lt;&gt;""</f>
        <v>1</v>
      </c>
      <c r="F1151" t="b">
        <v>0</v>
      </c>
      <c r="G1151" t="b">
        <v>1</v>
      </c>
      <c r="H1151" t="b">
        <v>0</v>
      </c>
      <c r="I1151" t="b">
        <v>1</v>
      </c>
    </row>
    <row r="1152" spans="1:9" x14ac:dyDescent="0.35">
      <c r="A1152" t="s">
        <v>2539</v>
      </c>
      <c r="B1152" t="s">
        <v>3216</v>
      </c>
      <c r="D1152" t="b">
        <f>IFERROR(VLOOKUP(B1152,PatData!$A$2:$A$2000,1,),"")&lt;&gt;""</f>
        <v>1</v>
      </c>
      <c r="F1152" t="b">
        <v>0</v>
      </c>
      <c r="G1152" t="b">
        <v>1</v>
      </c>
      <c r="H1152" t="b">
        <v>0</v>
      </c>
      <c r="I1152" t="b">
        <v>1</v>
      </c>
    </row>
    <row r="1153" spans="1:9" x14ac:dyDescent="0.35">
      <c r="A1153" t="s">
        <v>2540</v>
      </c>
      <c r="B1153" t="s">
        <v>3217</v>
      </c>
      <c r="D1153" t="b">
        <f>IFERROR(VLOOKUP(B1153,PatData!$A$2:$A$2000,1,),"")&lt;&gt;""</f>
        <v>1</v>
      </c>
      <c r="F1153" t="b">
        <v>0</v>
      </c>
      <c r="G1153" t="b">
        <v>1</v>
      </c>
      <c r="H1153" t="b">
        <v>0</v>
      </c>
      <c r="I1153" t="b">
        <v>1</v>
      </c>
    </row>
    <row r="1154" spans="1:9" x14ac:dyDescent="0.35">
      <c r="A1154" t="s">
        <v>2541</v>
      </c>
      <c r="B1154" t="s">
        <v>3218</v>
      </c>
      <c r="D1154" t="b">
        <f>IFERROR(VLOOKUP(B1154,PatData!$A$2:$A$2000,1,),"")&lt;&gt;""</f>
        <v>1</v>
      </c>
      <c r="F1154" t="b">
        <v>0</v>
      </c>
      <c r="G1154" t="b">
        <v>1</v>
      </c>
      <c r="H1154" t="b">
        <v>0</v>
      </c>
      <c r="I1154" t="b">
        <v>1</v>
      </c>
    </row>
    <row r="1155" spans="1:9" x14ac:dyDescent="0.35">
      <c r="A1155" t="s">
        <v>2542</v>
      </c>
      <c r="B1155" t="s">
        <v>3219</v>
      </c>
      <c r="D1155" t="b">
        <f>IFERROR(VLOOKUP(B1155,PatData!$A$2:$A$2000,1,),"")&lt;&gt;""</f>
        <v>1</v>
      </c>
      <c r="F1155" t="b">
        <v>0</v>
      </c>
      <c r="G1155" t="b">
        <v>1</v>
      </c>
      <c r="H1155" t="b">
        <v>0</v>
      </c>
      <c r="I1155" t="b">
        <v>1</v>
      </c>
    </row>
    <row r="1156" spans="1:9" x14ac:dyDescent="0.35">
      <c r="A1156" t="s">
        <v>2543</v>
      </c>
      <c r="B1156" t="s">
        <v>3220</v>
      </c>
      <c r="D1156" t="b">
        <f>IFERROR(VLOOKUP(B1156,PatData!$A$2:$A$2000,1,),"")&lt;&gt;""</f>
        <v>1</v>
      </c>
      <c r="F1156" t="b">
        <v>0</v>
      </c>
      <c r="G1156" t="b">
        <v>1</v>
      </c>
      <c r="H1156" t="b">
        <v>0</v>
      </c>
      <c r="I1156" t="b">
        <v>1</v>
      </c>
    </row>
    <row r="1157" spans="1:9" x14ac:dyDescent="0.35">
      <c r="A1157" t="s">
        <v>2544</v>
      </c>
      <c r="B1157" t="s">
        <v>3221</v>
      </c>
      <c r="D1157" t="b">
        <f>IFERROR(VLOOKUP(B1157,PatData!$A$2:$A$2000,1,),"")&lt;&gt;""</f>
        <v>1</v>
      </c>
      <c r="F1157" t="b">
        <v>0</v>
      </c>
      <c r="G1157" t="b">
        <v>1</v>
      </c>
      <c r="H1157" t="b">
        <v>0</v>
      </c>
      <c r="I1157" t="b">
        <v>1</v>
      </c>
    </row>
    <row r="1158" spans="1:9" x14ac:dyDescent="0.35">
      <c r="A1158" t="s">
        <v>2545</v>
      </c>
      <c r="B1158" t="s">
        <v>3222</v>
      </c>
      <c r="D1158" t="b">
        <f>IFERROR(VLOOKUP(B1158,PatData!$A$2:$A$2000,1,),"")&lt;&gt;""</f>
        <v>1</v>
      </c>
      <c r="F1158" t="b">
        <v>0</v>
      </c>
      <c r="G1158" t="b">
        <v>1</v>
      </c>
      <c r="H1158" t="b">
        <v>0</v>
      </c>
      <c r="I1158" t="b">
        <v>1</v>
      </c>
    </row>
    <row r="1159" spans="1:9" x14ac:dyDescent="0.35">
      <c r="A1159" t="s">
        <v>2546</v>
      </c>
      <c r="B1159" t="s">
        <v>3223</v>
      </c>
      <c r="D1159" t="b">
        <f>IFERROR(VLOOKUP(B1159,PatData!$A$2:$A$2000,1,),"")&lt;&gt;""</f>
        <v>1</v>
      </c>
      <c r="F1159" t="b">
        <v>0</v>
      </c>
      <c r="G1159" t="b">
        <v>1</v>
      </c>
      <c r="H1159" t="b">
        <v>0</v>
      </c>
      <c r="I1159" t="b">
        <v>1</v>
      </c>
    </row>
    <row r="1160" spans="1:9" x14ac:dyDescent="0.35">
      <c r="A1160" t="s">
        <v>2547</v>
      </c>
      <c r="B1160" t="s">
        <v>3224</v>
      </c>
      <c r="D1160" t="b">
        <f>IFERROR(VLOOKUP(B1160,PatData!$A$2:$A$2000,1,),"")&lt;&gt;""</f>
        <v>1</v>
      </c>
      <c r="F1160" t="b">
        <v>0</v>
      </c>
      <c r="G1160" t="b">
        <v>1</v>
      </c>
      <c r="H1160" t="b">
        <v>0</v>
      </c>
      <c r="I1160" t="b">
        <v>1</v>
      </c>
    </row>
    <row r="1161" spans="1:9" x14ac:dyDescent="0.35">
      <c r="A1161" t="s">
        <v>2548</v>
      </c>
      <c r="B1161" t="s">
        <v>3225</v>
      </c>
      <c r="D1161" t="b">
        <f>IFERROR(VLOOKUP(B1161,PatData!$A$2:$A$2000,1,),"")&lt;&gt;""</f>
        <v>1</v>
      </c>
      <c r="F1161" t="b">
        <v>0</v>
      </c>
      <c r="G1161" t="b">
        <v>1</v>
      </c>
      <c r="H1161" t="b">
        <v>0</v>
      </c>
      <c r="I1161" t="b">
        <v>1</v>
      </c>
    </row>
    <row r="1162" spans="1:9" x14ac:dyDescent="0.35">
      <c r="A1162" t="s">
        <v>2549</v>
      </c>
      <c r="B1162" t="s">
        <v>3226</v>
      </c>
      <c r="D1162" t="b">
        <f>IFERROR(VLOOKUP(B1162,PatData!$A$2:$A$2000,1,),"")&lt;&gt;""</f>
        <v>1</v>
      </c>
      <c r="F1162" t="b">
        <v>0</v>
      </c>
      <c r="G1162" t="b">
        <v>1</v>
      </c>
      <c r="H1162" t="b">
        <v>0</v>
      </c>
      <c r="I1162" t="b">
        <v>1</v>
      </c>
    </row>
    <row r="1163" spans="1:9" x14ac:dyDescent="0.35">
      <c r="A1163" t="s">
        <v>2550</v>
      </c>
      <c r="B1163" t="s">
        <v>3227</v>
      </c>
      <c r="D1163" t="b">
        <f>IFERROR(VLOOKUP(B1163,PatData!$A$2:$A$2000,1,),"")&lt;&gt;""</f>
        <v>1</v>
      </c>
      <c r="F1163" t="b">
        <v>0</v>
      </c>
      <c r="G1163" t="b">
        <v>1</v>
      </c>
      <c r="H1163" t="b">
        <v>0</v>
      </c>
      <c r="I1163" t="b">
        <v>1</v>
      </c>
    </row>
    <row r="1164" spans="1:9" x14ac:dyDescent="0.35">
      <c r="A1164" t="s">
        <v>2551</v>
      </c>
      <c r="B1164" t="s">
        <v>3228</v>
      </c>
      <c r="D1164" t="b">
        <f>IFERROR(VLOOKUP(B1164,PatData!$A$2:$A$2000,1,),"")&lt;&gt;""</f>
        <v>1</v>
      </c>
      <c r="F1164" t="b">
        <v>0</v>
      </c>
      <c r="G1164" t="b">
        <v>1</v>
      </c>
      <c r="H1164" t="b">
        <v>0</v>
      </c>
      <c r="I1164" t="b">
        <v>1</v>
      </c>
    </row>
    <row r="1165" spans="1:9" x14ac:dyDescent="0.35">
      <c r="A1165" t="s">
        <v>2552</v>
      </c>
      <c r="B1165" t="s">
        <v>3229</v>
      </c>
      <c r="D1165" t="b">
        <f>IFERROR(VLOOKUP(B1165,PatData!$A$2:$A$2000,1,),"")&lt;&gt;""</f>
        <v>1</v>
      </c>
      <c r="F1165" t="b">
        <v>0</v>
      </c>
      <c r="G1165" t="b">
        <v>1</v>
      </c>
      <c r="H1165" t="b">
        <v>0</v>
      </c>
      <c r="I1165" t="b">
        <v>1</v>
      </c>
    </row>
    <row r="1166" spans="1:9" x14ac:dyDescent="0.35">
      <c r="A1166" t="s">
        <v>2553</v>
      </c>
      <c r="B1166" t="s">
        <v>3230</v>
      </c>
      <c r="D1166" t="b">
        <f>IFERROR(VLOOKUP(B1166,PatData!$A$2:$A$2000,1,),"")&lt;&gt;""</f>
        <v>1</v>
      </c>
      <c r="F1166" t="b">
        <v>0</v>
      </c>
      <c r="G1166" t="b">
        <v>1</v>
      </c>
      <c r="H1166" t="b">
        <v>0</v>
      </c>
      <c r="I1166" t="b">
        <v>1</v>
      </c>
    </row>
    <row r="1167" spans="1:9" x14ac:dyDescent="0.35">
      <c r="A1167" t="s">
        <v>2554</v>
      </c>
      <c r="B1167" t="s">
        <v>3231</v>
      </c>
      <c r="D1167" t="b">
        <f>IFERROR(VLOOKUP(B1167,PatData!$A$2:$A$2000,1,),"")&lt;&gt;""</f>
        <v>1</v>
      </c>
      <c r="F1167" t="b">
        <v>0</v>
      </c>
      <c r="G1167" t="b">
        <v>1</v>
      </c>
      <c r="H1167" t="b">
        <v>0</v>
      </c>
      <c r="I1167" t="b">
        <v>1</v>
      </c>
    </row>
    <row r="1168" spans="1:9" x14ac:dyDescent="0.35">
      <c r="A1168" t="s">
        <v>2555</v>
      </c>
      <c r="B1168" t="s">
        <v>3232</v>
      </c>
      <c r="D1168" t="b">
        <f>IFERROR(VLOOKUP(B1168,PatData!$A$2:$A$2000,1,),"")&lt;&gt;""</f>
        <v>1</v>
      </c>
      <c r="F1168" t="b">
        <v>0</v>
      </c>
      <c r="G1168" t="b">
        <v>1</v>
      </c>
      <c r="H1168" t="b">
        <v>0</v>
      </c>
      <c r="I1168" t="b">
        <v>1</v>
      </c>
    </row>
    <row r="1169" spans="1:9" x14ac:dyDescent="0.35">
      <c r="A1169" t="s">
        <v>2556</v>
      </c>
      <c r="B1169" t="s">
        <v>3233</v>
      </c>
      <c r="D1169" t="b">
        <f>IFERROR(VLOOKUP(B1169,PatData!$A$2:$A$2000,1,),"")&lt;&gt;""</f>
        <v>1</v>
      </c>
      <c r="F1169" t="b">
        <v>0</v>
      </c>
      <c r="G1169" t="b">
        <v>1</v>
      </c>
      <c r="H1169" t="b">
        <v>0</v>
      </c>
      <c r="I1169" t="b">
        <v>1</v>
      </c>
    </row>
    <row r="1170" spans="1:9" x14ac:dyDescent="0.35">
      <c r="A1170" t="s">
        <v>2557</v>
      </c>
      <c r="B1170" t="s">
        <v>3234</v>
      </c>
      <c r="D1170" t="b">
        <f>IFERROR(VLOOKUP(B1170,PatData!$A$2:$A$2000,1,),"")&lt;&gt;""</f>
        <v>1</v>
      </c>
      <c r="F1170" t="b">
        <v>0</v>
      </c>
      <c r="G1170" t="b">
        <v>1</v>
      </c>
      <c r="H1170" t="b">
        <v>0</v>
      </c>
      <c r="I1170" t="b">
        <v>1</v>
      </c>
    </row>
    <row r="1171" spans="1:9" x14ac:dyDescent="0.35">
      <c r="A1171" t="s">
        <v>2558</v>
      </c>
      <c r="B1171" t="s">
        <v>3235</v>
      </c>
      <c r="D1171" t="b">
        <f>IFERROR(VLOOKUP(B1171,PatData!$A$2:$A$2000,1,),"")&lt;&gt;""</f>
        <v>1</v>
      </c>
      <c r="F1171" t="b">
        <v>0</v>
      </c>
      <c r="G1171" t="b">
        <v>1</v>
      </c>
      <c r="H1171" t="b">
        <v>0</v>
      </c>
      <c r="I1171" t="b">
        <v>1</v>
      </c>
    </row>
    <row r="1172" spans="1:9" x14ac:dyDescent="0.35">
      <c r="A1172" t="s">
        <v>2559</v>
      </c>
      <c r="B1172" t="s">
        <v>3236</v>
      </c>
      <c r="D1172" t="b">
        <f>IFERROR(VLOOKUP(B1172,PatData!$A$2:$A$2000,1,),"")&lt;&gt;""</f>
        <v>1</v>
      </c>
      <c r="F1172" t="b">
        <v>0</v>
      </c>
      <c r="G1172" t="b">
        <v>1</v>
      </c>
      <c r="H1172" t="b">
        <v>0</v>
      </c>
      <c r="I1172" t="b">
        <v>1</v>
      </c>
    </row>
    <row r="1173" spans="1:9" x14ac:dyDescent="0.35">
      <c r="A1173" t="s">
        <v>2560</v>
      </c>
      <c r="B1173" t="s">
        <v>3237</v>
      </c>
      <c r="D1173" t="b">
        <f>IFERROR(VLOOKUP(B1173,PatData!$A$2:$A$2000,1,),"")&lt;&gt;""</f>
        <v>1</v>
      </c>
      <c r="F1173" t="b">
        <v>0</v>
      </c>
      <c r="G1173" t="b">
        <v>1</v>
      </c>
      <c r="H1173" t="b">
        <v>0</v>
      </c>
      <c r="I1173" t="b">
        <v>1</v>
      </c>
    </row>
    <row r="1174" spans="1:9" x14ac:dyDescent="0.35">
      <c r="A1174" t="s">
        <v>2561</v>
      </c>
      <c r="B1174" t="s">
        <v>3238</v>
      </c>
      <c r="D1174" t="b">
        <f>IFERROR(VLOOKUP(B1174,PatData!$A$2:$A$2000,1,),"")&lt;&gt;""</f>
        <v>1</v>
      </c>
      <c r="F1174" t="b">
        <v>0</v>
      </c>
      <c r="G1174" t="b">
        <v>1</v>
      </c>
      <c r="H1174" t="b">
        <v>0</v>
      </c>
      <c r="I1174" t="b">
        <v>1</v>
      </c>
    </row>
    <row r="1175" spans="1:9" x14ac:dyDescent="0.35">
      <c r="A1175" t="s">
        <v>2562</v>
      </c>
      <c r="B1175" t="s">
        <v>3239</v>
      </c>
      <c r="D1175" t="b">
        <f>IFERROR(VLOOKUP(B1175,PatData!$A$2:$A$2000,1,),"")&lt;&gt;""</f>
        <v>1</v>
      </c>
      <c r="F1175" t="b">
        <v>0</v>
      </c>
      <c r="G1175" t="b">
        <v>1</v>
      </c>
      <c r="H1175" t="b">
        <v>0</v>
      </c>
      <c r="I1175" t="b">
        <v>1</v>
      </c>
    </row>
    <row r="1176" spans="1:9" x14ac:dyDescent="0.35">
      <c r="A1176" t="s">
        <v>2563</v>
      </c>
      <c r="B1176" t="s">
        <v>3240</v>
      </c>
      <c r="D1176" t="b">
        <f>IFERROR(VLOOKUP(B1176,PatData!$A$2:$A$2000,1,),"")&lt;&gt;""</f>
        <v>1</v>
      </c>
      <c r="F1176" t="b">
        <v>0</v>
      </c>
      <c r="G1176" t="b">
        <v>1</v>
      </c>
      <c r="H1176" t="b">
        <v>0</v>
      </c>
      <c r="I1176" t="b">
        <v>1</v>
      </c>
    </row>
    <row r="1177" spans="1:9" x14ac:dyDescent="0.35">
      <c r="A1177" t="s">
        <v>2564</v>
      </c>
      <c r="B1177" t="s">
        <v>3241</v>
      </c>
      <c r="D1177" t="b">
        <f>IFERROR(VLOOKUP(B1177,PatData!$A$2:$A$2000,1,),"")&lt;&gt;""</f>
        <v>1</v>
      </c>
      <c r="F1177" t="b">
        <v>0</v>
      </c>
      <c r="G1177" t="b">
        <v>1</v>
      </c>
      <c r="H1177" t="b">
        <v>0</v>
      </c>
      <c r="I1177" t="b">
        <v>1</v>
      </c>
    </row>
    <row r="1178" spans="1:9" x14ac:dyDescent="0.35">
      <c r="A1178" t="s">
        <v>2565</v>
      </c>
      <c r="B1178" t="s">
        <v>3242</v>
      </c>
      <c r="D1178" t="b">
        <f>IFERROR(VLOOKUP(B1178,PatData!$A$2:$A$2000,1,),"")&lt;&gt;""</f>
        <v>1</v>
      </c>
      <c r="F1178" t="b">
        <v>0</v>
      </c>
      <c r="G1178" t="b">
        <v>1</v>
      </c>
      <c r="H1178" t="b">
        <v>0</v>
      </c>
      <c r="I1178" t="b">
        <v>1</v>
      </c>
    </row>
    <row r="1179" spans="1:9" x14ac:dyDescent="0.35">
      <c r="A1179" t="s">
        <v>2566</v>
      </c>
      <c r="B1179" t="s">
        <v>3243</v>
      </c>
      <c r="D1179" t="b">
        <f>IFERROR(VLOOKUP(B1179,PatData!$A$2:$A$2000,1,),"")&lt;&gt;""</f>
        <v>1</v>
      </c>
      <c r="F1179" t="b">
        <v>0</v>
      </c>
      <c r="G1179" t="b">
        <v>1</v>
      </c>
      <c r="H1179" t="b">
        <v>0</v>
      </c>
      <c r="I1179" t="b">
        <v>1</v>
      </c>
    </row>
    <row r="1180" spans="1:9" x14ac:dyDescent="0.35">
      <c r="A1180" t="s">
        <v>2567</v>
      </c>
      <c r="B1180" t="s">
        <v>3244</v>
      </c>
      <c r="D1180" t="b">
        <f>IFERROR(VLOOKUP(B1180,PatData!$A$2:$A$2000,1,),"")&lt;&gt;""</f>
        <v>1</v>
      </c>
      <c r="F1180" t="b">
        <v>0</v>
      </c>
      <c r="G1180" t="b">
        <v>1</v>
      </c>
      <c r="H1180" t="b">
        <v>0</v>
      </c>
      <c r="I1180" t="b">
        <v>1</v>
      </c>
    </row>
    <row r="1181" spans="1:9" x14ac:dyDescent="0.35">
      <c r="A1181" t="s">
        <v>2568</v>
      </c>
      <c r="B1181" t="s">
        <v>3245</v>
      </c>
      <c r="D1181" t="b">
        <f>IFERROR(VLOOKUP(B1181,PatData!$A$2:$A$2000,1,),"")&lt;&gt;""</f>
        <v>1</v>
      </c>
      <c r="F1181" t="b">
        <v>0</v>
      </c>
      <c r="G1181" t="b">
        <v>1</v>
      </c>
      <c r="H1181" t="b">
        <v>0</v>
      </c>
      <c r="I1181" t="b">
        <v>1</v>
      </c>
    </row>
    <row r="1182" spans="1:9" x14ac:dyDescent="0.35">
      <c r="A1182" t="s">
        <v>2569</v>
      </c>
      <c r="B1182" t="s">
        <v>3246</v>
      </c>
      <c r="D1182" t="b">
        <f>IFERROR(VLOOKUP(B1182,PatData!$A$2:$A$2000,1,),"")&lt;&gt;""</f>
        <v>1</v>
      </c>
      <c r="F1182" t="b">
        <v>0</v>
      </c>
      <c r="G1182" t="b">
        <v>1</v>
      </c>
      <c r="H1182" t="b">
        <v>0</v>
      </c>
      <c r="I1182" t="b">
        <v>1</v>
      </c>
    </row>
    <row r="1183" spans="1:9" x14ac:dyDescent="0.35">
      <c r="A1183" t="s">
        <v>2570</v>
      </c>
      <c r="B1183" t="s">
        <v>3247</v>
      </c>
      <c r="D1183" t="b">
        <f>IFERROR(VLOOKUP(B1183,PatData!$A$2:$A$2000,1,),"")&lt;&gt;""</f>
        <v>1</v>
      </c>
      <c r="F1183" t="b">
        <v>0</v>
      </c>
      <c r="G1183" t="b">
        <v>1</v>
      </c>
      <c r="H1183" t="b">
        <v>0</v>
      </c>
      <c r="I1183" t="b">
        <v>1</v>
      </c>
    </row>
    <row r="1184" spans="1:9" x14ac:dyDescent="0.35">
      <c r="A1184" t="s">
        <v>2571</v>
      </c>
      <c r="B1184" t="s">
        <v>3248</v>
      </c>
      <c r="D1184" t="b">
        <f>IFERROR(VLOOKUP(B1184,PatData!$A$2:$A$2000,1,),"")&lt;&gt;""</f>
        <v>1</v>
      </c>
      <c r="F1184" t="b">
        <v>0</v>
      </c>
      <c r="G1184" t="b">
        <v>1</v>
      </c>
      <c r="H1184" t="b">
        <v>0</v>
      </c>
      <c r="I1184" t="b">
        <v>1</v>
      </c>
    </row>
    <row r="1185" spans="1:9" x14ac:dyDescent="0.35">
      <c r="A1185" t="s">
        <v>2572</v>
      </c>
      <c r="B1185" t="s">
        <v>3249</v>
      </c>
      <c r="D1185" t="b">
        <f>IFERROR(VLOOKUP(B1185,PatData!$A$2:$A$2000,1,),"")&lt;&gt;""</f>
        <v>1</v>
      </c>
      <c r="F1185" t="b">
        <v>0</v>
      </c>
      <c r="G1185" t="b">
        <v>1</v>
      </c>
      <c r="H1185" t="b">
        <v>0</v>
      </c>
      <c r="I1185" t="b">
        <v>1</v>
      </c>
    </row>
    <row r="1186" spans="1:9" x14ac:dyDescent="0.35">
      <c r="A1186" t="s">
        <v>2573</v>
      </c>
      <c r="B1186" t="s">
        <v>3250</v>
      </c>
      <c r="D1186" t="b">
        <f>IFERROR(VLOOKUP(B1186,PatData!$A$2:$A$2000,1,),"")&lt;&gt;""</f>
        <v>1</v>
      </c>
      <c r="F1186" t="b">
        <v>0</v>
      </c>
      <c r="G1186" t="b">
        <v>1</v>
      </c>
      <c r="H1186" t="b">
        <v>0</v>
      </c>
      <c r="I1186" t="b">
        <v>1</v>
      </c>
    </row>
    <row r="1187" spans="1:9" x14ac:dyDescent="0.35">
      <c r="A1187" t="s">
        <v>2574</v>
      </c>
      <c r="B1187" t="s">
        <v>3251</v>
      </c>
      <c r="D1187" t="b">
        <f>IFERROR(VLOOKUP(B1187,PatData!$A$2:$A$2000,1,),"")&lt;&gt;""</f>
        <v>1</v>
      </c>
      <c r="F1187" t="b">
        <v>0</v>
      </c>
      <c r="G1187" t="b">
        <v>1</v>
      </c>
      <c r="H1187" t="b">
        <v>0</v>
      </c>
      <c r="I1187" t="b">
        <v>1</v>
      </c>
    </row>
    <row r="1188" spans="1:9" x14ac:dyDescent="0.35">
      <c r="A1188" t="s">
        <v>2575</v>
      </c>
      <c r="B1188" t="s">
        <v>3252</v>
      </c>
      <c r="D1188" t="b">
        <f>IFERROR(VLOOKUP(B1188,PatData!$A$2:$A$2000,1,),"")&lt;&gt;""</f>
        <v>1</v>
      </c>
      <c r="F1188" t="b">
        <v>0</v>
      </c>
      <c r="G1188" t="b">
        <v>1</v>
      </c>
      <c r="H1188" t="b">
        <v>0</v>
      </c>
      <c r="I1188" t="b">
        <v>1</v>
      </c>
    </row>
    <row r="1189" spans="1:9" x14ac:dyDescent="0.35">
      <c r="A1189" t="s">
        <v>2576</v>
      </c>
      <c r="B1189" t="s">
        <v>3253</v>
      </c>
      <c r="D1189" t="b">
        <f>IFERROR(VLOOKUP(B1189,PatData!$A$2:$A$2000,1,),"")&lt;&gt;""</f>
        <v>1</v>
      </c>
      <c r="F1189" t="b">
        <v>0</v>
      </c>
      <c r="G1189" t="b">
        <v>1</v>
      </c>
      <c r="H1189" t="b">
        <v>0</v>
      </c>
      <c r="I1189" t="b">
        <v>1</v>
      </c>
    </row>
    <row r="1190" spans="1:9" x14ac:dyDescent="0.35">
      <c r="A1190" t="s">
        <v>2577</v>
      </c>
      <c r="B1190" t="s">
        <v>3254</v>
      </c>
      <c r="D1190" t="b">
        <f>IFERROR(VLOOKUP(B1190,PatData!$A$2:$A$2000,1,),"")&lt;&gt;""</f>
        <v>1</v>
      </c>
      <c r="F1190" t="b">
        <v>0</v>
      </c>
      <c r="G1190" t="b">
        <v>1</v>
      </c>
      <c r="H1190" t="b">
        <v>0</v>
      </c>
      <c r="I1190" t="b">
        <v>1</v>
      </c>
    </row>
    <row r="1191" spans="1:9" x14ac:dyDescent="0.35">
      <c r="A1191" t="s">
        <v>2578</v>
      </c>
      <c r="B1191" t="s">
        <v>3255</v>
      </c>
      <c r="D1191" t="b">
        <f>IFERROR(VLOOKUP(B1191,PatData!$A$2:$A$2000,1,),"")&lt;&gt;""</f>
        <v>1</v>
      </c>
      <c r="F1191" t="b">
        <v>0</v>
      </c>
      <c r="G1191" t="b">
        <v>1</v>
      </c>
      <c r="H1191" t="b">
        <v>0</v>
      </c>
      <c r="I1191" t="b">
        <v>1</v>
      </c>
    </row>
    <row r="1192" spans="1:9" x14ac:dyDescent="0.35">
      <c r="A1192" t="s">
        <v>2579</v>
      </c>
      <c r="B1192" t="s">
        <v>3256</v>
      </c>
      <c r="D1192" t="b">
        <f>IFERROR(VLOOKUP(B1192,PatData!$A$2:$A$2000,1,),"")&lt;&gt;""</f>
        <v>1</v>
      </c>
      <c r="F1192" t="b">
        <v>0</v>
      </c>
      <c r="G1192" t="b">
        <v>1</v>
      </c>
      <c r="H1192" t="b">
        <v>0</v>
      </c>
      <c r="I1192" t="b">
        <v>1</v>
      </c>
    </row>
    <row r="1193" spans="1:9" x14ac:dyDescent="0.35">
      <c r="A1193" t="s">
        <v>2580</v>
      </c>
      <c r="B1193" t="s">
        <v>3257</v>
      </c>
      <c r="D1193" t="b">
        <f>IFERROR(VLOOKUP(B1193,PatData!$A$2:$A$2000,1,),"")&lt;&gt;""</f>
        <v>1</v>
      </c>
      <c r="F1193" t="b">
        <v>0</v>
      </c>
      <c r="G1193" t="b">
        <v>1</v>
      </c>
      <c r="H1193" t="b">
        <v>0</v>
      </c>
      <c r="I1193" t="b">
        <v>1</v>
      </c>
    </row>
    <row r="1194" spans="1:9" x14ac:dyDescent="0.35">
      <c r="A1194" t="s">
        <v>2581</v>
      </c>
      <c r="B1194" t="s">
        <v>3258</v>
      </c>
      <c r="D1194" t="b">
        <f>IFERROR(VLOOKUP(B1194,PatData!$A$2:$A$2000,1,),"")&lt;&gt;""</f>
        <v>1</v>
      </c>
      <c r="F1194" t="b">
        <v>0</v>
      </c>
      <c r="G1194" t="b">
        <v>1</v>
      </c>
      <c r="H1194" t="b">
        <v>0</v>
      </c>
      <c r="I1194" t="b">
        <v>1</v>
      </c>
    </row>
    <row r="1195" spans="1:9" x14ac:dyDescent="0.35">
      <c r="A1195" t="s">
        <v>2582</v>
      </c>
      <c r="B1195" t="s">
        <v>3259</v>
      </c>
      <c r="D1195" t="b">
        <f>IFERROR(VLOOKUP(B1195,PatData!$A$2:$A$2000,1,),"")&lt;&gt;""</f>
        <v>1</v>
      </c>
      <c r="F1195" t="b">
        <v>0</v>
      </c>
      <c r="G1195" t="b">
        <v>1</v>
      </c>
      <c r="H1195" t="b">
        <v>0</v>
      </c>
      <c r="I1195" t="b">
        <v>1</v>
      </c>
    </row>
    <row r="1196" spans="1:9" x14ac:dyDescent="0.35">
      <c r="A1196" t="s">
        <v>2583</v>
      </c>
      <c r="B1196" t="s">
        <v>3260</v>
      </c>
      <c r="D1196" t="b">
        <f>IFERROR(VLOOKUP(B1196,PatData!$A$2:$A$2000,1,),"")&lt;&gt;""</f>
        <v>1</v>
      </c>
      <c r="F1196" t="b">
        <v>0</v>
      </c>
      <c r="G1196" t="b">
        <v>1</v>
      </c>
      <c r="H1196" t="b">
        <v>0</v>
      </c>
      <c r="I1196" t="b">
        <v>1</v>
      </c>
    </row>
    <row r="1197" spans="1:9" x14ac:dyDescent="0.35">
      <c r="A1197" t="s">
        <v>2413</v>
      </c>
      <c r="B1197" t="s">
        <v>3261</v>
      </c>
      <c r="D1197" t="b">
        <f>IFERROR(VLOOKUP(B1197,PatData!$A$2:$A$2000,1,),"")&lt;&gt;""</f>
        <v>1</v>
      </c>
      <c r="F1197" t="b">
        <v>0</v>
      </c>
      <c r="G1197" t="b">
        <v>1</v>
      </c>
      <c r="H1197" t="b">
        <v>0</v>
      </c>
      <c r="I1197" t="b">
        <v>1</v>
      </c>
    </row>
    <row r="1198" spans="1:9" x14ac:dyDescent="0.35">
      <c r="A1198" t="s">
        <v>2584</v>
      </c>
      <c r="B1198" t="s">
        <v>3262</v>
      </c>
      <c r="D1198" t="b">
        <f>IFERROR(VLOOKUP(B1198,PatData!$A$2:$A$2000,1,),"")&lt;&gt;""</f>
        <v>1</v>
      </c>
      <c r="F1198" t="b">
        <v>0</v>
      </c>
      <c r="G1198" t="b">
        <v>1</v>
      </c>
      <c r="H1198" t="b">
        <v>0</v>
      </c>
      <c r="I1198" t="b">
        <v>1</v>
      </c>
    </row>
    <row r="1199" spans="1:9" x14ac:dyDescent="0.35">
      <c r="A1199" t="s">
        <v>2585</v>
      </c>
      <c r="B1199" t="s">
        <v>3263</v>
      </c>
      <c r="D1199" t="b">
        <f>IFERROR(VLOOKUP(B1199,PatData!$A$2:$A$2000,1,),"")&lt;&gt;""</f>
        <v>1</v>
      </c>
      <c r="F1199" t="b">
        <v>0</v>
      </c>
      <c r="G1199" t="b">
        <v>1</v>
      </c>
      <c r="H1199" t="b">
        <v>0</v>
      </c>
      <c r="I1199" t="b">
        <v>1</v>
      </c>
    </row>
    <row r="1200" spans="1:9" x14ac:dyDescent="0.35">
      <c r="A1200" t="s">
        <v>2586</v>
      </c>
      <c r="B1200" t="s">
        <v>3264</v>
      </c>
      <c r="D1200" t="b">
        <f>IFERROR(VLOOKUP(B1200,PatData!$A$2:$A$2000,1,),"")&lt;&gt;""</f>
        <v>1</v>
      </c>
      <c r="F1200" t="b">
        <v>0</v>
      </c>
      <c r="G1200" t="b">
        <v>1</v>
      </c>
      <c r="H1200" t="b">
        <v>0</v>
      </c>
      <c r="I1200" t="b">
        <v>1</v>
      </c>
    </row>
    <row r="1201" spans="1:9" x14ac:dyDescent="0.35">
      <c r="A1201" t="s">
        <v>2587</v>
      </c>
      <c r="B1201" t="s">
        <v>3265</v>
      </c>
      <c r="D1201" t="b">
        <f>IFERROR(VLOOKUP(B1201,PatData!$A$2:$A$2000,1,),"")&lt;&gt;""</f>
        <v>1</v>
      </c>
      <c r="F1201" t="b">
        <v>0</v>
      </c>
      <c r="G1201" t="b">
        <v>1</v>
      </c>
      <c r="H1201" t="b">
        <v>0</v>
      </c>
      <c r="I1201" t="b">
        <v>1</v>
      </c>
    </row>
    <row r="1202" spans="1:9" x14ac:dyDescent="0.35">
      <c r="A1202" t="s">
        <v>2588</v>
      </c>
      <c r="B1202" t="s">
        <v>3266</v>
      </c>
      <c r="D1202" t="b">
        <f>IFERROR(VLOOKUP(B1202,PatData!$A$2:$A$2000,1,),"")&lt;&gt;""</f>
        <v>1</v>
      </c>
      <c r="F1202" t="b">
        <v>0</v>
      </c>
      <c r="G1202" t="b">
        <v>1</v>
      </c>
      <c r="H1202" t="b">
        <v>0</v>
      </c>
      <c r="I1202" t="b">
        <v>1</v>
      </c>
    </row>
    <row r="1203" spans="1:9" x14ac:dyDescent="0.35">
      <c r="A1203" t="s">
        <v>2589</v>
      </c>
      <c r="B1203" t="s">
        <v>3267</v>
      </c>
      <c r="D1203" t="b">
        <f>IFERROR(VLOOKUP(B1203,PatData!$A$2:$A$2000,1,),"")&lt;&gt;""</f>
        <v>1</v>
      </c>
      <c r="F1203" t="b">
        <v>0</v>
      </c>
      <c r="G1203" t="b">
        <v>1</v>
      </c>
      <c r="H1203" t="b">
        <v>0</v>
      </c>
      <c r="I1203" t="b">
        <v>1</v>
      </c>
    </row>
    <row r="1204" spans="1:9" x14ac:dyDescent="0.35">
      <c r="A1204" t="s">
        <v>2590</v>
      </c>
      <c r="B1204" t="s">
        <v>3268</v>
      </c>
      <c r="D1204" t="b">
        <f>IFERROR(VLOOKUP(B1204,PatData!$A$2:$A$2000,1,),"")&lt;&gt;""</f>
        <v>1</v>
      </c>
      <c r="F1204" t="b">
        <v>0</v>
      </c>
      <c r="G1204" t="b">
        <v>1</v>
      </c>
      <c r="H1204" t="b">
        <v>0</v>
      </c>
      <c r="I1204" t="b">
        <v>1</v>
      </c>
    </row>
    <row r="1205" spans="1:9" x14ac:dyDescent="0.35">
      <c r="A1205" t="s">
        <v>2591</v>
      </c>
      <c r="B1205" t="s">
        <v>3269</v>
      </c>
      <c r="D1205" t="b">
        <f>IFERROR(VLOOKUP(B1205,PatData!$A$2:$A$2000,1,),"")&lt;&gt;""</f>
        <v>1</v>
      </c>
      <c r="F1205" t="b">
        <v>0</v>
      </c>
      <c r="G1205" t="b">
        <v>1</v>
      </c>
      <c r="H1205" t="b">
        <v>0</v>
      </c>
      <c r="I1205" t="b">
        <v>1</v>
      </c>
    </row>
    <row r="1206" spans="1:9" x14ac:dyDescent="0.35">
      <c r="A1206" t="s">
        <v>2592</v>
      </c>
      <c r="B1206" t="s">
        <v>3270</v>
      </c>
      <c r="D1206" t="b">
        <f>IFERROR(VLOOKUP(B1206,PatData!$A$2:$A$2000,1,),"")&lt;&gt;""</f>
        <v>1</v>
      </c>
      <c r="F1206" t="b">
        <v>0</v>
      </c>
      <c r="G1206" t="b">
        <v>1</v>
      </c>
      <c r="H1206" t="b">
        <v>0</v>
      </c>
      <c r="I1206" t="b">
        <v>1</v>
      </c>
    </row>
    <row r="1207" spans="1:9" x14ac:dyDescent="0.35">
      <c r="A1207" t="s">
        <v>2593</v>
      </c>
      <c r="B1207" t="s">
        <v>3271</v>
      </c>
      <c r="D1207" t="b">
        <f>IFERROR(VLOOKUP(B1207,PatData!$A$2:$A$2000,1,),"")&lt;&gt;""</f>
        <v>1</v>
      </c>
      <c r="F1207" t="b">
        <v>0</v>
      </c>
      <c r="G1207" t="b">
        <v>1</v>
      </c>
      <c r="H1207" t="b">
        <v>0</v>
      </c>
      <c r="I1207" t="b">
        <v>1</v>
      </c>
    </row>
    <row r="1208" spans="1:9" x14ac:dyDescent="0.35">
      <c r="A1208" t="s">
        <v>2594</v>
      </c>
      <c r="B1208" t="s">
        <v>3272</v>
      </c>
      <c r="D1208" t="b">
        <f>IFERROR(VLOOKUP(B1208,PatData!$A$2:$A$2000,1,),"")&lt;&gt;""</f>
        <v>1</v>
      </c>
      <c r="F1208" t="b">
        <v>0</v>
      </c>
      <c r="G1208" t="b">
        <v>1</v>
      </c>
      <c r="H1208" t="b">
        <v>0</v>
      </c>
      <c r="I1208" t="b">
        <v>1</v>
      </c>
    </row>
    <row r="1209" spans="1:9" x14ac:dyDescent="0.35">
      <c r="A1209" t="s">
        <v>2418</v>
      </c>
      <c r="B1209" t="s">
        <v>4631</v>
      </c>
      <c r="D1209" t="b">
        <f>IFERROR(VLOOKUP(B1209,PatData!$A$2:$A$2000,1,),"")&lt;&gt;""</f>
        <v>1</v>
      </c>
      <c r="F1209" t="b">
        <v>0</v>
      </c>
      <c r="G1209" t="b">
        <v>1</v>
      </c>
      <c r="H1209" t="b">
        <v>0</v>
      </c>
      <c r="I1209" t="b">
        <v>1</v>
      </c>
    </row>
    <row r="1210" spans="1:9" x14ac:dyDescent="0.35">
      <c r="A1210" t="s">
        <v>2418</v>
      </c>
      <c r="B1210" t="s">
        <v>3273</v>
      </c>
      <c r="D1210" t="b">
        <f>IFERROR(VLOOKUP(B1210,PatData!$A$2:$A$2000,1,),"")&lt;&gt;""</f>
        <v>1</v>
      </c>
      <c r="F1210" t="b">
        <v>0</v>
      </c>
      <c r="G1210" t="b">
        <v>1</v>
      </c>
      <c r="H1210" t="b">
        <v>0</v>
      </c>
      <c r="I1210" t="b">
        <v>1</v>
      </c>
    </row>
    <row r="1211" spans="1:9" x14ac:dyDescent="0.35">
      <c r="A1211" t="s">
        <v>2595</v>
      </c>
      <c r="B1211" t="s">
        <v>3274</v>
      </c>
      <c r="D1211" t="b">
        <f>IFERROR(VLOOKUP(B1211,PatData!$A$2:$A$2000,1,),"")&lt;&gt;""</f>
        <v>1</v>
      </c>
      <c r="F1211" t="b">
        <v>0</v>
      </c>
      <c r="G1211" t="b">
        <v>1</v>
      </c>
      <c r="H1211" t="b">
        <v>0</v>
      </c>
      <c r="I1211" t="b">
        <v>1</v>
      </c>
    </row>
    <row r="1212" spans="1:9" x14ac:dyDescent="0.35">
      <c r="A1212" t="s">
        <v>2413</v>
      </c>
      <c r="B1212" t="s">
        <v>3089</v>
      </c>
      <c r="D1212" t="b">
        <f>IFERROR(VLOOKUP(B1212,PatData!$A$2:$A$2000,1,),"")&lt;&gt;""</f>
        <v>1</v>
      </c>
      <c r="F1212" t="b">
        <v>0</v>
      </c>
      <c r="G1212" t="b">
        <v>1</v>
      </c>
      <c r="H1212" t="b">
        <v>0</v>
      </c>
      <c r="I1212" t="b">
        <v>1</v>
      </c>
    </row>
    <row r="1213" spans="1:9" x14ac:dyDescent="0.35">
      <c r="A1213" t="s">
        <v>1995</v>
      </c>
      <c r="B1213" t="s">
        <v>4632</v>
      </c>
      <c r="D1213" t="b">
        <f>IFERROR(VLOOKUP(B1213,PatData!$A$2:$A$2000,1,),"")&lt;&gt;""</f>
        <v>1</v>
      </c>
      <c r="E1213">
        <v>1</v>
      </c>
      <c r="F1213" t="b">
        <v>0</v>
      </c>
      <c r="G1213" t="b">
        <v>1</v>
      </c>
      <c r="H1213" t="b">
        <v>0</v>
      </c>
      <c r="I1213" t="b">
        <v>1</v>
      </c>
    </row>
    <row r="1214" spans="1:9" x14ac:dyDescent="0.35">
      <c r="A1214" t="s">
        <v>1996</v>
      </c>
      <c r="B1214" t="s">
        <v>4633</v>
      </c>
      <c r="D1214" t="b">
        <f>IFERROR(VLOOKUP(B1214,PatData!$A$2:$A$2000,1,),"")&lt;&gt;""</f>
        <v>1</v>
      </c>
      <c r="F1214" t="b">
        <v>0</v>
      </c>
      <c r="G1214" t="b">
        <v>1</v>
      </c>
      <c r="H1214" t="b">
        <v>0</v>
      </c>
      <c r="I1214" t="b">
        <v>1</v>
      </c>
    </row>
    <row r="1215" spans="1:9" x14ac:dyDescent="0.35">
      <c r="A1215" t="s">
        <v>1997</v>
      </c>
      <c r="B1215" t="s">
        <v>4634</v>
      </c>
      <c r="D1215" t="b">
        <f>IFERROR(VLOOKUP(B1215,PatData!$A$2:$A$2000,1,),"")&lt;&gt;""</f>
        <v>1</v>
      </c>
      <c r="F1215" t="b">
        <v>0</v>
      </c>
      <c r="G1215" t="b">
        <v>1</v>
      </c>
      <c r="H1215" t="b">
        <v>0</v>
      </c>
      <c r="I1215" t="b">
        <v>1</v>
      </c>
    </row>
    <row r="1216" spans="1:9" x14ac:dyDescent="0.35">
      <c r="A1216" t="s">
        <v>1998</v>
      </c>
      <c r="B1216" t="s">
        <v>4635</v>
      </c>
      <c r="D1216" t="b">
        <f>IFERROR(VLOOKUP(B1216,PatData!$A$2:$A$2000,1,),"")&lt;&gt;""</f>
        <v>1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35">
      <c r="A1217" t="s">
        <v>1999</v>
      </c>
      <c r="B1217" t="s">
        <v>4636</v>
      </c>
      <c r="D1217" t="b">
        <f>IFERROR(VLOOKUP(B1217,PatData!$A$2:$A$2000,1,),"")&lt;&gt;""</f>
        <v>1</v>
      </c>
      <c r="E1217">
        <v>1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35">
      <c r="A1218" t="s">
        <v>2000</v>
      </c>
      <c r="B1218" t="s">
        <v>4637</v>
      </c>
      <c r="D1218" t="b">
        <f>IFERROR(VLOOKUP(B1218,PatData!$A$2:$A$2000,1,),"")&lt;&gt;""</f>
        <v>1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35">
      <c r="A1219" t="s">
        <v>2001</v>
      </c>
      <c r="B1219" t="s">
        <v>4638</v>
      </c>
      <c r="D1219" t="b">
        <f>IFERROR(VLOOKUP(B1219,PatData!$A$2:$A$2000,1,),"")&lt;&gt;""</f>
        <v>1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35">
      <c r="A1220" t="s">
        <v>2002</v>
      </c>
      <c r="B1220" t="s">
        <v>4639</v>
      </c>
      <c r="D1220" t="b">
        <f>IFERROR(VLOOKUP(B1220,PatData!$A$2:$A$2000,1,),"")&lt;&gt;""</f>
        <v>1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35">
      <c r="A1221" t="s">
        <v>2927</v>
      </c>
      <c r="B1221" t="s">
        <v>4640</v>
      </c>
      <c r="D1221" t="b">
        <f>IFERROR(VLOOKUP(B1221,PatData!$A$2:$A$2000,1,),"")&lt;&gt;""</f>
        <v>1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35">
      <c r="A1222" t="s">
        <v>2003</v>
      </c>
      <c r="B1222" t="s">
        <v>4641</v>
      </c>
      <c r="D1222" t="b">
        <f>IFERROR(VLOOKUP(B1222,PatData!$A$2:$A$2000,1,),"")&lt;&gt;""</f>
        <v>1</v>
      </c>
      <c r="E1222">
        <v>1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35">
      <c r="A1223" t="s">
        <v>2004</v>
      </c>
      <c r="B1223" t="s">
        <v>4642</v>
      </c>
      <c r="D1223" t="b">
        <f>IFERROR(VLOOKUP(B1223,PatData!$A$2:$A$2000,1,),"")&lt;&gt;""</f>
        <v>1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35">
      <c r="A1224" t="s">
        <v>2005</v>
      </c>
      <c r="B1224" t="s">
        <v>4643</v>
      </c>
      <c r="D1224" t="b">
        <f>IFERROR(VLOOKUP(B1224,PatData!$A$2:$A$2000,1,),"")&lt;&gt;""</f>
        <v>1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35">
      <c r="A1225" t="s">
        <v>2006</v>
      </c>
      <c r="B1225" t="s">
        <v>4644</v>
      </c>
      <c r="D1225" t="b">
        <f>IFERROR(VLOOKUP(B1225,PatData!$A$2:$A$2000,1,),"")&lt;&gt;""</f>
        <v>1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35">
      <c r="A1226" t="s">
        <v>2007</v>
      </c>
      <c r="B1226" t="s">
        <v>4645</v>
      </c>
      <c r="D1226" t="b">
        <f>IFERROR(VLOOKUP(B1226,PatData!$A$2:$A$2000,1,),"")&lt;&gt;""</f>
        <v>1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35">
      <c r="A1227" t="s">
        <v>2008</v>
      </c>
      <c r="B1227" t="s">
        <v>4646</v>
      </c>
      <c r="D1227" t="b">
        <f>IFERROR(VLOOKUP(B1227,PatData!$A$2:$A$2000,1,),"")&lt;&gt;""</f>
        <v>1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35">
      <c r="A1228" t="s">
        <v>2009</v>
      </c>
      <c r="B1228" t="s">
        <v>4647</v>
      </c>
      <c r="D1228" t="b">
        <f>IFERROR(VLOOKUP(B1228,PatData!$A$2:$A$2000,1,),"")&lt;&gt;""</f>
        <v>1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35">
      <c r="A1229" t="s">
        <v>2010</v>
      </c>
      <c r="B1229" t="s">
        <v>4648</v>
      </c>
      <c r="D1229" t="b">
        <f>IFERROR(VLOOKUP(B1229,PatData!$A$2:$A$2000,1,),"")&lt;&gt;""</f>
        <v>1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35">
      <c r="A1230" t="s">
        <v>2011</v>
      </c>
      <c r="B1230" t="s">
        <v>4649</v>
      </c>
      <c r="D1230" t="b">
        <f>IFERROR(VLOOKUP(B1230,PatData!$A$2:$A$2000,1,),"")&lt;&gt;""</f>
        <v>1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35">
      <c r="A1231" t="s">
        <v>2012</v>
      </c>
      <c r="B1231" t="s">
        <v>4650</v>
      </c>
      <c r="D1231" t="b">
        <f>IFERROR(VLOOKUP(B1231,PatData!$A$2:$A$2000,1,),"")&lt;&gt;""</f>
        <v>1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35">
      <c r="A1232" t="s">
        <v>2013</v>
      </c>
      <c r="B1232" t="s">
        <v>4651</v>
      </c>
      <c r="D1232" t="b">
        <f>IFERROR(VLOOKUP(B1232,PatData!$A$2:$A$2000,1,),"")&lt;&gt;""</f>
        <v>1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35">
      <c r="A1233" t="s">
        <v>2014</v>
      </c>
      <c r="B1233" t="s">
        <v>4652</v>
      </c>
      <c r="D1233" t="b">
        <f>IFERROR(VLOOKUP(B1233,PatData!$A$2:$A$2000,1,),"")&lt;&gt;""</f>
        <v>1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35">
      <c r="A1234" t="s">
        <v>2015</v>
      </c>
      <c r="B1234" t="s">
        <v>4653</v>
      </c>
      <c r="D1234" t="b">
        <f>IFERROR(VLOOKUP(B1234,PatData!$A$2:$A$2000,1,),"")&lt;&gt;""</f>
        <v>1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35">
      <c r="A1235" t="s">
        <v>2016</v>
      </c>
      <c r="B1235" t="s">
        <v>4654</v>
      </c>
      <c r="D1235" t="b">
        <f>IFERROR(VLOOKUP(B1235,PatData!$A$2:$A$2000,1,),"")&lt;&gt;""</f>
        <v>1</v>
      </c>
      <c r="E1235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35">
      <c r="A1236" t="s">
        <v>2017</v>
      </c>
      <c r="B1236" t="s">
        <v>4655</v>
      </c>
      <c r="D1236" t="b">
        <f>IFERROR(VLOOKUP(B1236,PatData!$A$2:$A$2000,1,),"")&lt;&gt;""</f>
        <v>1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35">
      <c r="A1237" t="s">
        <v>2018</v>
      </c>
      <c r="B1237" t="s">
        <v>4656</v>
      </c>
      <c r="D1237" t="b">
        <f>IFERROR(VLOOKUP(B1237,PatData!$A$2:$A$2000,1,),"")&lt;&gt;""</f>
        <v>1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35">
      <c r="A1238" t="s">
        <v>2019</v>
      </c>
      <c r="B1238" t="s">
        <v>4657</v>
      </c>
      <c r="D1238" t="b">
        <f>IFERROR(VLOOKUP(B1238,PatData!$A$2:$A$2000,1,),"")&lt;&gt;""</f>
        <v>1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35">
      <c r="A1239" t="s">
        <v>2020</v>
      </c>
      <c r="B1239" t="s">
        <v>1230</v>
      </c>
      <c r="D1239" t="b">
        <f>IFERROR(VLOOKUP(B1239,PatData!$A$2:$A$2000,1,),"")&lt;&gt;""</f>
        <v>1</v>
      </c>
      <c r="E1239">
        <v>1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35">
      <c r="A1240" t="s">
        <v>2021</v>
      </c>
      <c r="B1240" t="s">
        <v>1231</v>
      </c>
      <c r="D1240" t="b">
        <f>IFERROR(VLOOKUP(B1240,PatData!$A$2:$A$2000,1,),"")&lt;&gt;""</f>
        <v>1</v>
      </c>
      <c r="E1240">
        <v>1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35">
      <c r="A1241" t="s">
        <v>2022</v>
      </c>
      <c r="B1241" t="s">
        <v>1232</v>
      </c>
      <c r="D1241" t="b">
        <f>IFERROR(VLOOKUP(B1241,PatData!$A$2:$A$2000,1,),"")&lt;&gt;""</f>
        <v>1</v>
      </c>
      <c r="E1241">
        <v>1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35">
      <c r="A1242" t="s">
        <v>2023</v>
      </c>
      <c r="B1242" t="s">
        <v>1233</v>
      </c>
      <c r="D1242" t="b">
        <f>IFERROR(VLOOKUP(B1242,PatData!$A$2:$A$2000,1,),"")&lt;&gt;""</f>
        <v>1</v>
      </c>
      <c r="E1242">
        <v>1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35">
      <c r="A1243" t="s">
        <v>2024</v>
      </c>
      <c r="B1243" t="s">
        <v>1234</v>
      </c>
      <c r="D1243" t="b">
        <f>IFERROR(VLOOKUP(B1243,PatData!$A$2:$A$2000,1,),"")&lt;&gt;""</f>
        <v>1</v>
      </c>
      <c r="E1243">
        <v>1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35">
      <c r="A1244" t="s">
        <v>2025</v>
      </c>
      <c r="B1244" t="s">
        <v>1235</v>
      </c>
      <c r="D1244" t="b">
        <f>IFERROR(VLOOKUP(B1244,PatData!$A$2:$A$2000,1,),"")&lt;&gt;""</f>
        <v>1</v>
      </c>
      <c r="E1244">
        <v>1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35">
      <c r="A1245" t="s">
        <v>2917</v>
      </c>
      <c r="B1245" t="s">
        <v>4658</v>
      </c>
      <c r="D1245" t="b">
        <f>IFERROR(VLOOKUP(B1245,PatData!$A$2:$A$2000,1,),"")&lt;&gt;""</f>
        <v>1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35">
      <c r="A1246" t="s">
        <v>2026</v>
      </c>
      <c r="B1246" t="s">
        <v>4659</v>
      </c>
      <c r="D1246" t="b">
        <f>IFERROR(VLOOKUP(B1246,PatData!$A$2:$A$2000,1,),"")&lt;&gt;""</f>
        <v>1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35">
      <c r="A1247" t="s">
        <v>2027</v>
      </c>
      <c r="B1247" t="s">
        <v>4660</v>
      </c>
      <c r="D1247" t="b">
        <f>IFERROR(VLOOKUP(B1247,PatData!$A$2:$A$2000,1,),"")&lt;&gt;""</f>
        <v>1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35">
      <c r="A1248" t="s">
        <v>2028</v>
      </c>
      <c r="B1248" t="s">
        <v>4661</v>
      </c>
      <c r="D1248" t="b">
        <f>IFERROR(VLOOKUP(B1248,PatData!$A$2:$A$2000,1,),"")&lt;&gt;""</f>
        <v>1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35">
      <c r="A1249" t="s">
        <v>2029</v>
      </c>
      <c r="B1249" t="s">
        <v>4662</v>
      </c>
      <c r="D1249" t="b">
        <f>IFERROR(VLOOKUP(B1249,PatData!$A$2:$A$2000,1,),"")&lt;&gt;""</f>
        <v>1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35">
      <c r="A1250" t="s">
        <v>2030</v>
      </c>
      <c r="B1250" t="s">
        <v>4663</v>
      </c>
      <c r="D1250" t="b">
        <f>IFERROR(VLOOKUP(B1250,PatData!$A$2:$A$2000,1,),"")&lt;&gt;""</f>
        <v>1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35">
      <c r="A1251" t="s">
        <v>2031</v>
      </c>
      <c r="B1251" t="s">
        <v>4664</v>
      </c>
      <c r="D1251" t="b">
        <f>IFERROR(VLOOKUP(B1251,PatData!$A$2:$A$2000,1,),"")&lt;&gt;""</f>
        <v>1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35">
      <c r="A1252" t="s">
        <v>2032</v>
      </c>
      <c r="B1252" t="s">
        <v>4665</v>
      </c>
      <c r="D1252" t="b">
        <f>IFERROR(VLOOKUP(B1252,PatData!$A$2:$A$2000,1,),"")&lt;&gt;""</f>
        <v>1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35">
      <c r="A1253" t="s">
        <v>2033</v>
      </c>
      <c r="B1253" t="s">
        <v>4666</v>
      </c>
      <c r="D1253" t="b">
        <f>IFERROR(VLOOKUP(B1253,PatData!$A$2:$A$2000,1,),"")&lt;&gt;""</f>
        <v>1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35">
      <c r="A1254" t="s">
        <v>2034</v>
      </c>
      <c r="B1254" t="s">
        <v>4667</v>
      </c>
      <c r="D1254" t="b">
        <f>IFERROR(VLOOKUP(B1254,PatData!$A$2:$A$2000,1,),"")&lt;&gt;""</f>
        <v>1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35">
      <c r="A1255" t="s">
        <v>2035</v>
      </c>
      <c r="B1255" t="s">
        <v>4668</v>
      </c>
      <c r="D1255" t="b">
        <f>IFERROR(VLOOKUP(B1255,PatData!$A$2:$A$2000,1,),"")&lt;&gt;""</f>
        <v>1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35">
      <c r="A1256" t="s">
        <v>2036</v>
      </c>
      <c r="B1256" t="s">
        <v>4669</v>
      </c>
      <c r="D1256" t="b">
        <f>IFERROR(VLOOKUP(B1256,PatData!$A$2:$A$2000,1,),"")&lt;&gt;""</f>
        <v>1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35">
      <c r="A1257" t="s">
        <v>2037</v>
      </c>
      <c r="B1257" t="s">
        <v>4670</v>
      </c>
      <c r="D1257" t="b">
        <f>IFERROR(VLOOKUP(B1257,PatData!$A$2:$A$2000,1,),"")&lt;&gt;""</f>
        <v>1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35">
      <c r="A1258" t="s">
        <v>2038</v>
      </c>
      <c r="B1258" t="s">
        <v>4671</v>
      </c>
      <c r="D1258" t="b">
        <f>IFERROR(VLOOKUP(B1258,PatData!$A$2:$A$2000,1,),"")&lt;&gt;""</f>
        <v>1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35">
      <c r="A1259" t="s">
        <v>2039</v>
      </c>
      <c r="B1259" t="s">
        <v>4672</v>
      </c>
      <c r="D1259" t="b">
        <f>IFERROR(VLOOKUP(B1259,PatData!$A$2:$A$2000,1,),"")&lt;&gt;""</f>
        <v>1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35">
      <c r="A1260" t="s">
        <v>2040</v>
      </c>
      <c r="B1260" t="s">
        <v>4673</v>
      </c>
      <c r="D1260" t="b">
        <f>IFERROR(VLOOKUP(B1260,PatData!$A$2:$A$2000,1,),"")&lt;&gt;""</f>
        <v>1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35">
      <c r="A1261" t="s">
        <v>2041</v>
      </c>
      <c r="B1261" t="s">
        <v>4674</v>
      </c>
      <c r="D1261" t="b">
        <f>IFERROR(VLOOKUP(B1261,PatData!$A$2:$A$2000,1,),"")&lt;&gt;""</f>
        <v>1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35">
      <c r="A1262" t="s">
        <v>2042</v>
      </c>
      <c r="B1262" t="s">
        <v>4675</v>
      </c>
      <c r="D1262" t="b">
        <f>IFERROR(VLOOKUP(B1262,PatData!$A$2:$A$2000,1,),"")&lt;&gt;""</f>
        <v>1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35">
      <c r="A1263" t="s">
        <v>2043</v>
      </c>
      <c r="B1263" t="s">
        <v>4676</v>
      </c>
      <c r="D1263" t="b">
        <f>IFERROR(VLOOKUP(B1263,PatData!$A$2:$A$2000,1,),"")&lt;&gt;""</f>
        <v>1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35">
      <c r="A1264" t="s">
        <v>2044</v>
      </c>
      <c r="B1264" t="s">
        <v>4677</v>
      </c>
      <c r="D1264" t="b">
        <f>IFERROR(VLOOKUP(B1264,PatData!$A$2:$A$2000,1,),"")&lt;&gt;""</f>
        <v>1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35">
      <c r="A1265" t="s">
        <v>2045</v>
      </c>
      <c r="B1265" t="s">
        <v>4678</v>
      </c>
      <c r="D1265" t="b">
        <f>IFERROR(VLOOKUP(B1265,PatData!$A$2:$A$2000,1,),"")&lt;&gt;""</f>
        <v>1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35">
      <c r="A1266" t="s">
        <v>2046</v>
      </c>
      <c r="B1266" t="s">
        <v>4679</v>
      </c>
      <c r="D1266" t="b">
        <f>IFERROR(VLOOKUP(B1266,PatData!$A$2:$A$2000,1,),"")&lt;&gt;""</f>
        <v>1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35">
      <c r="A1267" t="s">
        <v>2047</v>
      </c>
      <c r="B1267" t="s">
        <v>4680</v>
      </c>
      <c r="D1267" t="b">
        <f>IFERROR(VLOOKUP(B1267,PatData!$A$2:$A$2000,1,),"")&lt;&gt;""</f>
        <v>1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35">
      <c r="A1268" t="s">
        <v>2048</v>
      </c>
      <c r="B1268" t="s">
        <v>4681</v>
      </c>
      <c r="D1268" t="b">
        <f>IFERROR(VLOOKUP(B1268,PatData!$A$2:$A$2000,1,),"")&lt;&gt;""</f>
        <v>1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35">
      <c r="A1269" t="s">
        <v>2049</v>
      </c>
      <c r="B1269" t="s">
        <v>4682</v>
      </c>
      <c r="D1269" t="b">
        <f>IFERROR(VLOOKUP(B1269,PatData!$A$2:$A$2000,1,),"")&lt;&gt;""</f>
        <v>1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35">
      <c r="A1270" t="s">
        <v>2050</v>
      </c>
      <c r="B1270" t="s">
        <v>4683</v>
      </c>
      <c r="D1270" t="b">
        <f>IFERROR(VLOOKUP(B1270,PatData!$A$2:$A$2000,1,),"")&lt;&gt;""</f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35">
      <c r="A1271" t="s">
        <v>2051</v>
      </c>
      <c r="B1271" t="s">
        <v>4684</v>
      </c>
      <c r="D1271" t="b">
        <f>IFERROR(VLOOKUP(B1271,PatData!$A$2:$A$2000,1,),"")&lt;&gt;""</f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35">
      <c r="A1272" t="s">
        <v>2052</v>
      </c>
      <c r="B1272" t="s">
        <v>4685</v>
      </c>
      <c r="D1272" t="b">
        <f>IFERROR(VLOOKUP(B1272,PatData!$A$2:$A$2000,1,),"")&lt;&gt;""</f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35">
      <c r="A1273" t="s">
        <v>2053</v>
      </c>
      <c r="B1273" t="s">
        <v>4686</v>
      </c>
      <c r="D1273" t="b">
        <f>IFERROR(VLOOKUP(B1273,PatData!$A$2:$A$2000,1,),"")&lt;&gt;""</f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35">
      <c r="A1274" t="s">
        <v>2054</v>
      </c>
      <c r="B1274" t="s">
        <v>4687</v>
      </c>
      <c r="D1274" t="b">
        <f>IFERROR(VLOOKUP(B1274,PatData!$A$2:$A$2000,1,),"")&lt;&gt;""</f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35">
      <c r="A1275" t="s">
        <v>2055</v>
      </c>
      <c r="B1275" t="s">
        <v>4688</v>
      </c>
      <c r="D1275" t="b">
        <f>IFERROR(VLOOKUP(B1275,PatData!$A$2:$A$2000,1,),"")&lt;&gt;""</f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35">
      <c r="A1276" t="s">
        <v>2056</v>
      </c>
      <c r="B1276" t="s">
        <v>4689</v>
      </c>
      <c r="D1276" t="b">
        <f>IFERROR(VLOOKUP(B1276,PatData!$A$2:$A$2000,1,),"")&lt;&gt;""</f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35">
      <c r="A1277" t="s">
        <v>2057</v>
      </c>
      <c r="B1277" t="s">
        <v>4690</v>
      </c>
      <c r="D1277" t="b">
        <f>IFERROR(VLOOKUP(B1277,PatData!$A$2:$A$2000,1,),"")&lt;&gt;""</f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35">
      <c r="A1278" t="s">
        <v>2058</v>
      </c>
      <c r="B1278" t="s">
        <v>4691</v>
      </c>
      <c r="D1278" t="b">
        <f>IFERROR(VLOOKUP(B1278,PatData!$A$2:$A$2000,1,),"")&lt;&gt;""</f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35">
      <c r="A1279" t="s">
        <v>2059</v>
      </c>
      <c r="B1279" t="s">
        <v>4692</v>
      </c>
      <c r="D1279" t="b">
        <f>IFERROR(VLOOKUP(B1279,PatData!$A$2:$A$2000,1,),"")&lt;&gt;""</f>
        <v>1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35">
      <c r="A1280" t="s">
        <v>2060</v>
      </c>
      <c r="B1280" t="s">
        <v>4693</v>
      </c>
      <c r="D1280" t="b">
        <f>IFERROR(VLOOKUP(B1280,PatData!$A$2:$A$2000,1,),"")&lt;&gt;""</f>
        <v>1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35">
      <c r="A1281" t="s">
        <v>2061</v>
      </c>
      <c r="B1281" t="s">
        <v>4694</v>
      </c>
      <c r="D1281" t="b">
        <f>IFERROR(VLOOKUP(B1281,PatData!$A$2:$A$2000,1,),"")&lt;&gt;""</f>
        <v>1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35">
      <c r="A1282" t="s">
        <v>2062</v>
      </c>
      <c r="B1282" t="s">
        <v>4695</v>
      </c>
      <c r="D1282" t="b">
        <f>IFERROR(VLOOKUP(B1282,PatData!$A$2:$A$2000,1,),"")&lt;&gt;""</f>
        <v>1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35">
      <c r="A1283" t="s">
        <v>2063</v>
      </c>
      <c r="B1283" t="s">
        <v>4696</v>
      </c>
      <c r="D1283" t="b">
        <f>IFERROR(VLOOKUP(B1283,PatData!$A$2:$A$2000,1,),"")&lt;&gt;""</f>
        <v>1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35">
      <c r="A1284" t="s">
        <v>2064</v>
      </c>
      <c r="B1284" t="s">
        <v>4697</v>
      </c>
      <c r="D1284" t="b">
        <f>IFERROR(VLOOKUP(B1284,PatData!$A$2:$A$2000,1,),"")&lt;&gt;""</f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35">
      <c r="A1285" t="s">
        <v>2065</v>
      </c>
      <c r="B1285" t="s">
        <v>4698</v>
      </c>
      <c r="D1285" t="b">
        <f>IFERROR(VLOOKUP(B1285,PatData!$A$2:$A$2000,1,),"")&lt;&gt;""</f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35">
      <c r="A1286" t="s">
        <v>2066</v>
      </c>
      <c r="B1286" t="s">
        <v>4699</v>
      </c>
      <c r="D1286" t="b">
        <f>IFERROR(VLOOKUP(B1286,PatData!$A$2:$A$2000,1,),"")&lt;&gt;""</f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35">
      <c r="A1287" t="s">
        <v>2067</v>
      </c>
      <c r="B1287" t="s">
        <v>4700</v>
      </c>
      <c r="D1287" t="b">
        <f>IFERROR(VLOOKUP(B1287,PatData!$A$2:$A$2000,1,),"")&lt;&gt;""</f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35">
      <c r="A1288" t="s">
        <v>2068</v>
      </c>
      <c r="B1288" t="s">
        <v>4701</v>
      </c>
      <c r="D1288" t="b">
        <f>IFERROR(VLOOKUP(B1288,PatData!$A$2:$A$2000,1,),"")&lt;&gt;""</f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35">
      <c r="A1289" t="s">
        <v>2069</v>
      </c>
      <c r="B1289" t="s">
        <v>4702</v>
      </c>
      <c r="D1289" t="b">
        <f>IFERROR(VLOOKUP(B1289,PatData!$A$2:$A$2000,1,),"")&lt;&gt;""</f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35">
      <c r="A1290" t="s">
        <v>2070</v>
      </c>
      <c r="B1290" t="s">
        <v>4703</v>
      </c>
      <c r="D1290" t="b">
        <f>IFERROR(VLOOKUP(B1290,PatData!$A$2:$A$2000,1,),"")&lt;&gt;""</f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35">
      <c r="A1291" t="s">
        <v>2071</v>
      </c>
      <c r="B1291" t="s">
        <v>4704</v>
      </c>
      <c r="D1291" t="b">
        <f>IFERROR(VLOOKUP(B1291,PatData!$A$2:$A$2000,1,),"")&lt;&gt;""</f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35">
      <c r="A1292" t="s">
        <v>2072</v>
      </c>
      <c r="B1292" t="s">
        <v>4705</v>
      </c>
      <c r="D1292" t="b">
        <f>IFERROR(VLOOKUP(B1292,PatData!$A$2:$A$2000,1,),"")&lt;&gt;""</f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35">
      <c r="A1293" t="s">
        <v>2073</v>
      </c>
      <c r="B1293" t="s">
        <v>4706</v>
      </c>
      <c r="D1293" t="b">
        <f>IFERROR(VLOOKUP(B1293,PatData!$A$2:$A$2000,1,),"")&lt;&gt;""</f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35">
      <c r="A1294" t="s">
        <v>2074</v>
      </c>
      <c r="B1294" t="s">
        <v>4707</v>
      </c>
      <c r="D1294" t="b">
        <f>IFERROR(VLOOKUP(B1294,PatData!$A$2:$A$2000,1,),"")&lt;&gt;""</f>
        <v>1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35">
      <c r="A1295" t="s">
        <v>2075</v>
      </c>
      <c r="B1295" t="s">
        <v>4708</v>
      </c>
      <c r="D1295" t="b">
        <f>IFERROR(VLOOKUP(B1295,PatData!$A$2:$A$2000,1,),"")&lt;&gt;""</f>
        <v>1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35">
      <c r="A1296" t="s">
        <v>2076</v>
      </c>
      <c r="B1296" t="s">
        <v>4709</v>
      </c>
      <c r="D1296" t="b">
        <f>IFERROR(VLOOKUP(B1296,PatData!$A$2:$A$2000,1,),"")&lt;&gt;""</f>
        <v>1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35">
      <c r="A1297" t="s">
        <v>2077</v>
      </c>
      <c r="B1297" t="s">
        <v>4710</v>
      </c>
      <c r="D1297" t="b">
        <f>IFERROR(VLOOKUP(B1297,PatData!$A$2:$A$2000,1,),"")&lt;&gt;""</f>
        <v>1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35">
      <c r="A1298" t="s">
        <v>2078</v>
      </c>
      <c r="B1298" t="s">
        <v>4711</v>
      </c>
      <c r="D1298" t="b">
        <f>IFERROR(VLOOKUP(B1298,PatData!$A$2:$A$2000,1,),"")&lt;&gt;""</f>
        <v>1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35">
      <c r="A1299" t="s">
        <v>2079</v>
      </c>
      <c r="B1299" t="s">
        <v>4712</v>
      </c>
      <c r="D1299" t="b">
        <f>IFERROR(VLOOKUP(B1299,PatData!$A$2:$A$2000,1,),"")&lt;&gt;""</f>
        <v>1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35">
      <c r="A1300" t="s">
        <v>2080</v>
      </c>
      <c r="B1300" t="s">
        <v>4713</v>
      </c>
      <c r="D1300" t="b">
        <f>IFERROR(VLOOKUP(B1300,PatData!$A$2:$A$2000,1,),"")&lt;&gt;""</f>
        <v>1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35">
      <c r="A1301" t="s">
        <v>2081</v>
      </c>
      <c r="B1301" t="s">
        <v>4714</v>
      </c>
      <c r="D1301" t="b">
        <f>IFERROR(VLOOKUP(B1301,PatData!$A$2:$A$2000,1,),"")&lt;&gt;""</f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35">
      <c r="A1302" t="s">
        <v>2082</v>
      </c>
      <c r="B1302" t="s">
        <v>4715</v>
      </c>
      <c r="D1302" t="b">
        <f>IFERROR(VLOOKUP(B1302,PatData!$A$2:$A$2000,1,),"")&lt;&gt;""</f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35">
      <c r="A1303" t="s">
        <v>2083</v>
      </c>
      <c r="B1303" t="s">
        <v>4716</v>
      </c>
      <c r="D1303" t="b">
        <f>IFERROR(VLOOKUP(B1303,PatData!$A$2:$A$2000,1,),"")&lt;&gt;""</f>
        <v>1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35">
      <c r="A1304" t="s">
        <v>2084</v>
      </c>
      <c r="B1304" t="s">
        <v>4717</v>
      </c>
      <c r="D1304" t="b">
        <f>IFERROR(VLOOKUP(B1304,PatData!$A$2:$A$2000,1,),"")&lt;&gt;""</f>
        <v>1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35">
      <c r="A1305" t="s">
        <v>2085</v>
      </c>
      <c r="B1305" t="s">
        <v>4718</v>
      </c>
      <c r="D1305" t="b">
        <f>IFERROR(VLOOKUP(B1305,PatData!$A$2:$A$2000,1,),"")&lt;&gt;""</f>
        <v>1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35">
      <c r="A1306" t="s">
        <v>2086</v>
      </c>
      <c r="B1306" t="s">
        <v>4719</v>
      </c>
      <c r="D1306" t="b">
        <f>IFERROR(VLOOKUP(B1306,PatData!$A$2:$A$2000,1,),"")&lt;&gt;""</f>
        <v>1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35">
      <c r="A1307" t="s">
        <v>2087</v>
      </c>
      <c r="B1307" t="s">
        <v>4720</v>
      </c>
      <c r="D1307" t="b">
        <f>IFERROR(VLOOKUP(B1307,PatData!$A$2:$A$2000,1,),"")&lt;&gt;""</f>
        <v>1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35">
      <c r="A1308" t="s">
        <v>2088</v>
      </c>
      <c r="B1308" t="s">
        <v>4721</v>
      </c>
      <c r="D1308" t="b">
        <f>IFERROR(VLOOKUP(B1308,PatData!$A$2:$A$2000,1,),"")&lt;&gt;""</f>
        <v>1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35">
      <c r="A1309" t="s">
        <v>2089</v>
      </c>
      <c r="B1309" t="s">
        <v>4722</v>
      </c>
      <c r="D1309" t="b">
        <f>IFERROR(VLOOKUP(B1309,PatData!$A$2:$A$2000,1,),"")&lt;&gt;""</f>
        <v>1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35">
      <c r="A1310" t="s">
        <v>2090</v>
      </c>
      <c r="B1310" t="s">
        <v>4723</v>
      </c>
      <c r="D1310" t="b">
        <f>IFERROR(VLOOKUP(B1310,PatData!$A$2:$A$2000,1,),"")&lt;&gt;""</f>
        <v>1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35">
      <c r="A1311" t="s">
        <v>2091</v>
      </c>
      <c r="B1311" t="s">
        <v>4724</v>
      </c>
      <c r="D1311" t="b">
        <f>IFERROR(VLOOKUP(B1311,PatData!$A$2:$A$2000,1,),"")&lt;&gt;""</f>
        <v>1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35">
      <c r="A1312" t="s">
        <v>2092</v>
      </c>
      <c r="B1312" t="s">
        <v>4725</v>
      </c>
      <c r="D1312" t="b">
        <f>IFERROR(VLOOKUP(B1312,PatData!$A$2:$A$2000,1,),"")&lt;&gt;""</f>
        <v>1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35">
      <c r="A1313" t="s">
        <v>2093</v>
      </c>
      <c r="B1313" t="s">
        <v>4726</v>
      </c>
      <c r="D1313" t="b">
        <f>IFERROR(VLOOKUP(B1313,PatData!$A$2:$A$2000,1,),"")&lt;&gt;""</f>
        <v>1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35">
      <c r="A1314" t="s">
        <v>2094</v>
      </c>
      <c r="B1314" t="s">
        <v>4727</v>
      </c>
      <c r="D1314" t="b">
        <f>IFERROR(VLOOKUP(B1314,PatData!$A$2:$A$2000,1,),"")&lt;&gt;""</f>
        <v>1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35">
      <c r="A1315" t="s">
        <v>2095</v>
      </c>
      <c r="B1315" t="s">
        <v>4728</v>
      </c>
      <c r="D1315" t="b">
        <f>IFERROR(VLOOKUP(B1315,PatData!$A$2:$A$2000,1,),"")&lt;&gt;""</f>
        <v>1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35">
      <c r="A1316" t="s">
        <v>2096</v>
      </c>
      <c r="B1316" t="s">
        <v>4729</v>
      </c>
      <c r="D1316" t="b">
        <f>IFERROR(VLOOKUP(B1316,PatData!$A$2:$A$2000,1,),"")&lt;&gt;""</f>
        <v>1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35">
      <c r="A1317" t="s">
        <v>2097</v>
      </c>
      <c r="B1317" t="s">
        <v>4730</v>
      </c>
      <c r="D1317" t="b">
        <f>IFERROR(VLOOKUP(B1317,PatData!$A$2:$A$2000,1,),"")&lt;&gt;""</f>
        <v>1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35">
      <c r="A1318" t="s">
        <v>2098</v>
      </c>
      <c r="B1318" t="s">
        <v>4731</v>
      </c>
      <c r="D1318" t="b">
        <f>IFERROR(VLOOKUP(B1318,PatData!$A$2:$A$2000,1,),"")&lt;&gt;""</f>
        <v>1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35">
      <c r="A1319" t="s">
        <v>2099</v>
      </c>
      <c r="B1319" t="s">
        <v>4732</v>
      </c>
      <c r="D1319" t="b">
        <f>IFERROR(VLOOKUP(B1319,PatData!$A$2:$A$2000,1,),"")&lt;&gt;""</f>
        <v>1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35">
      <c r="A1320" t="s">
        <v>2100</v>
      </c>
      <c r="B1320" t="s">
        <v>4733</v>
      </c>
      <c r="D1320" t="b">
        <f>IFERROR(VLOOKUP(B1320,PatData!$A$2:$A$2000,1,),"")&lt;&gt;""</f>
        <v>1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35">
      <c r="A1321" t="s">
        <v>2101</v>
      </c>
      <c r="B1321" t="s">
        <v>4734</v>
      </c>
      <c r="D1321" t="b">
        <f>IFERROR(VLOOKUP(B1321,PatData!$A$2:$A$2000,1,),"")&lt;&gt;""</f>
        <v>1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35">
      <c r="A1322" t="s">
        <v>2102</v>
      </c>
      <c r="B1322" t="s">
        <v>4735</v>
      </c>
      <c r="D1322" t="b">
        <f>IFERROR(VLOOKUP(B1322,PatData!$A$2:$A$2000,1,),"")&lt;&gt;""</f>
        <v>1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35">
      <c r="A1323" t="s">
        <v>2103</v>
      </c>
      <c r="B1323" t="s">
        <v>4736</v>
      </c>
      <c r="D1323" t="b">
        <f>IFERROR(VLOOKUP(B1323,PatData!$A$2:$A$2000,1,),"")&lt;&gt;""</f>
        <v>1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35">
      <c r="A1324" t="s">
        <v>2104</v>
      </c>
      <c r="B1324" t="s">
        <v>4737</v>
      </c>
      <c r="D1324" t="b">
        <f>IFERROR(VLOOKUP(B1324,PatData!$A$2:$A$2000,1,),"")&lt;&gt;""</f>
        <v>1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35">
      <c r="A1325" t="s">
        <v>2105</v>
      </c>
      <c r="B1325" t="s">
        <v>4738</v>
      </c>
      <c r="D1325" t="b">
        <f>IFERROR(VLOOKUP(B1325,PatData!$A$2:$A$2000,1,),"")&lt;&gt;""</f>
        <v>1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35">
      <c r="A1326" t="s">
        <v>2106</v>
      </c>
      <c r="B1326" t="s">
        <v>4739</v>
      </c>
      <c r="D1326" t="b">
        <f>IFERROR(VLOOKUP(B1326,PatData!$A$2:$A$2000,1,),"")&lt;&gt;""</f>
        <v>1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35">
      <c r="A1327" t="s">
        <v>2107</v>
      </c>
      <c r="B1327" t="s">
        <v>4740</v>
      </c>
      <c r="D1327" t="b">
        <f>IFERROR(VLOOKUP(B1327,PatData!$A$2:$A$2000,1,),"")&lt;&gt;""</f>
        <v>1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35">
      <c r="A1328" t="s">
        <v>2108</v>
      </c>
      <c r="B1328" t="s">
        <v>4741</v>
      </c>
      <c r="D1328" t="b">
        <f>IFERROR(VLOOKUP(B1328,PatData!$A$2:$A$2000,1,),"")&lt;&gt;""</f>
        <v>1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35">
      <c r="A1329" t="s">
        <v>2109</v>
      </c>
      <c r="B1329" t="s">
        <v>4742</v>
      </c>
      <c r="D1329" t="b">
        <f>IFERROR(VLOOKUP(B1329,PatData!$A$2:$A$2000,1,),"")&lt;&gt;""</f>
        <v>1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35">
      <c r="A1330" t="s">
        <v>2110</v>
      </c>
      <c r="B1330" t="s">
        <v>4743</v>
      </c>
      <c r="D1330" t="b">
        <f>IFERROR(VLOOKUP(B1330,PatData!$A$2:$A$2000,1,),"")&lt;&gt;""</f>
        <v>1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35">
      <c r="A1331" t="s">
        <v>2111</v>
      </c>
      <c r="B1331" t="s">
        <v>4744</v>
      </c>
      <c r="D1331" t="b">
        <f>IFERROR(VLOOKUP(B1331,PatData!$A$2:$A$2000,1,),"")&lt;&gt;""</f>
        <v>1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35">
      <c r="A1332" t="s">
        <v>2112</v>
      </c>
      <c r="B1332" t="s">
        <v>4745</v>
      </c>
      <c r="D1332" t="b">
        <f>IFERROR(VLOOKUP(B1332,PatData!$A$2:$A$2000,1,),"")&lt;&gt;""</f>
        <v>1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35">
      <c r="A1333" t="s">
        <v>2113</v>
      </c>
      <c r="B1333" t="s">
        <v>4746</v>
      </c>
      <c r="D1333" t="b">
        <f>IFERROR(VLOOKUP(B1333,PatData!$A$2:$A$2000,1,),"")&lt;&gt;""</f>
        <v>1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35">
      <c r="A1334" t="s">
        <v>2114</v>
      </c>
      <c r="B1334" t="s">
        <v>4747</v>
      </c>
      <c r="D1334" t="b">
        <f>IFERROR(VLOOKUP(B1334,PatData!$A$2:$A$2000,1,),"")&lt;&gt;""</f>
        <v>1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35">
      <c r="A1335" t="s">
        <v>2115</v>
      </c>
      <c r="B1335" t="s">
        <v>4748</v>
      </c>
      <c r="D1335" t="b">
        <f>IFERROR(VLOOKUP(B1335,PatData!$A$2:$A$2000,1,),"")&lt;&gt;""</f>
        <v>1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35">
      <c r="A1336" t="s">
        <v>2116</v>
      </c>
      <c r="B1336" t="s">
        <v>4749</v>
      </c>
      <c r="D1336" t="b">
        <f>IFERROR(VLOOKUP(B1336,PatData!$A$2:$A$2000,1,),"")&lt;&gt;""</f>
        <v>1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35">
      <c r="A1337" t="s">
        <v>2117</v>
      </c>
      <c r="B1337" t="s">
        <v>4750</v>
      </c>
      <c r="D1337" t="b">
        <f>IFERROR(VLOOKUP(B1337,PatData!$A$2:$A$2000,1,),"")&lt;&gt;""</f>
        <v>1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35">
      <c r="A1338" t="s">
        <v>2118</v>
      </c>
      <c r="B1338" t="s">
        <v>4751</v>
      </c>
      <c r="D1338" t="b">
        <f>IFERROR(VLOOKUP(B1338,PatData!$A$2:$A$2000,1,),"")&lt;&gt;""</f>
        <v>1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35">
      <c r="A1339" t="s">
        <v>2119</v>
      </c>
      <c r="B1339" t="s">
        <v>4752</v>
      </c>
      <c r="D1339" t="b">
        <f>IFERROR(VLOOKUP(B1339,PatData!$A$2:$A$2000,1,),"")&lt;&gt;""</f>
        <v>1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35">
      <c r="A1340" t="s">
        <v>2120</v>
      </c>
      <c r="B1340" t="s">
        <v>4753</v>
      </c>
      <c r="D1340" t="b">
        <f>IFERROR(VLOOKUP(B1340,PatData!$A$2:$A$2000,1,),"")&lt;&gt;""</f>
        <v>1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35">
      <c r="A1341" t="s">
        <v>2121</v>
      </c>
      <c r="B1341" t="s">
        <v>4754</v>
      </c>
      <c r="D1341" t="b">
        <f>IFERROR(VLOOKUP(B1341,PatData!$A$2:$A$2000,1,),"")&lt;&gt;""</f>
        <v>1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35">
      <c r="A1342" t="s">
        <v>2122</v>
      </c>
      <c r="B1342" t="s">
        <v>4755</v>
      </c>
      <c r="D1342" t="b">
        <f>IFERROR(VLOOKUP(B1342,PatData!$A$2:$A$2000,1,),"")&lt;&gt;""</f>
        <v>1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35">
      <c r="A1343" t="s">
        <v>2123</v>
      </c>
      <c r="B1343" t="s">
        <v>4756</v>
      </c>
      <c r="D1343" t="b">
        <f>IFERROR(VLOOKUP(B1343,PatData!$A$2:$A$2000,1,),"")&lt;&gt;""</f>
        <v>1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35">
      <c r="A1344" t="s">
        <v>2124</v>
      </c>
      <c r="B1344" t="s">
        <v>4757</v>
      </c>
      <c r="D1344" t="b">
        <f>IFERROR(VLOOKUP(B1344,PatData!$A$2:$A$2000,1,),"")&lt;&gt;""</f>
        <v>1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35">
      <c r="A1345" t="s">
        <v>2125</v>
      </c>
      <c r="B1345" t="s">
        <v>4758</v>
      </c>
      <c r="D1345" t="b">
        <f>IFERROR(VLOOKUP(B1345,PatData!$A$2:$A$2000,1,),"")&lt;&gt;""</f>
        <v>1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35">
      <c r="A1346" t="s">
        <v>2126</v>
      </c>
      <c r="B1346" t="s">
        <v>4759</v>
      </c>
      <c r="D1346" t="b">
        <f>IFERROR(VLOOKUP(B1346,PatData!$A$2:$A$2000,1,),"")&lt;&gt;""</f>
        <v>1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35">
      <c r="A1347" t="s">
        <v>2127</v>
      </c>
      <c r="B1347" t="s">
        <v>4760</v>
      </c>
      <c r="D1347" t="b">
        <f>IFERROR(VLOOKUP(B1347,PatData!$A$2:$A$2000,1,),"")&lt;&gt;""</f>
        <v>1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35">
      <c r="A1348" t="s">
        <v>2128</v>
      </c>
      <c r="B1348" t="s">
        <v>4761</v>
      </c>
      <c r="D1348" t="b">
        <f>IFERROR(VLOOKUP(B1348,PatData!$A$2:$A$2000,1,),"")&lt;&gt;""</f>
        <v>1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35">
      <c r="A1349" t="s">
        <v>2129</v>
      </c>
      <c r="B1349" t="s">
        <v>4762</v>
      </c>
      <c r="D1349" t="b">
        <f>IFERROR(VLOOKUP(B1349,PatData!$A$2:$A$2000,1,),"")&lt;&gt;""</f>
        <v>1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35">
      <c r="A1350" t="s">
        <v>2130</v>
      </c>
      <c r="B1350" t="s">
        <v>4763</v>
      </c>
      <c r="D1350" t="b">
        <f>IFERROR(VLOOKUP(B1350,PatData!$A$2:$A$2000,1,),"")&lt;&gt;""</f>
        <v>1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35">
      <c r="A1351" t="s">
        <v>2131</v>
      </c>
      <c r="B1351" t="s">
        <v>4764</v>
      </c>
      <c r="D1351" t="b">
        <f>IFERROR(VLOOKUP(B1351,PatData!$A$2:$A$2000,1,),"")&lt;&gt;""</f>
        <v>1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35">
      <c r="A1352" t="s">
        <v>2132</v>
      </c>
      <c r="B1352" t="s">
        <v>4765</v>
      </c>
      <c r="D1352" t="b">
        <f>IFERROR(VLOOKUP(B1352,PatData!$A$2:$A$2000,1,),"")&lt;&gt;""</f>
        <v>1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35">
      <c r="A1353" t="s">
        <v>2133</v>
      </c>
      <c r="B1353" t="s">
        <v>4766</v>
      </c>
      <c r="D1353" t="b">
        <f>IFERROR(VLOOKUP(B1353,PatData!$A$2:$A$2000,1,),"")&lt;&gt;""</f>
        <v>1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35">
      <c r="A1354" t="s">
        <v>2134</v>
      </c>
      <c r="B1354" t="s">
        <v>4767</v>
      </c>
      <c r="D1354" t="b">
        <f>IFERROR(VLOOKUP(B1354,PatData!$A$2:$A$2000,1,),"")&lt;&gt;""</f>
        <v>1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35">
      <c r="A1355" t="s">
        <v>2135</v>
      </c>
      <c r="B1355" t="s">
        <v>4768</v>
      </c>
      <c r="D1355" t="b">
        <f>IFERROR(VLOOKUP(B1355,PatData!$A$2:$A$2000,1,),"")&lt;&gt;""</f>
        <v>1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35">
      <c r="A1356" t="s">
        <v>2136</v>
      </c>
      <c r="B1356" t="s">
        <v>4769</v>
      </c>
      <c r="D1356" t="b">
        <f>IFERROR(VLOOKUP(B1356,PatData!$A$2:$A$2000,1,),"")&lt;&gt;""</f>
        <v>1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35">
      <c r="A1357" t="s">
        <v>2137</v>
      </c>
      <c r="B1357" t="s">
        <v>4770</v>
      </c>
      <c r="D1357" t="b">
        <f>IFERROR(VLOOKUP(B1357,PatData!$A$2:$A$2000,1,),"")&lt;&gt;""</f>
        <v>1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35">
      <c r="A1358" t="s">
        <v>2138</v>
      </c>
      <c r="B1358" t="s">
        <v>4771</v>
      </c>
      <c r="D1358" t="b">
        <f>IFERROR(VLOOKUP(B1358,PatData!$A$2:$A$2000,1,),"")&lt;&gt;""</f>
        <v>1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35">
      <c r="A1359" t="s">
        <v>2139</v>
      </c>
      <c r="B1359" t="s">
        <v>4772</v>
      </c>
      <c r="D1359" t="b">
        <f>IFERROR(VLOOKUP(B1359,PatData!$A$2:$A$2000,1,),"")&lt;&gt;""</f>
        <v>1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35">
      <c r="A1360" t="s">
        <v>2140</v>
      </c>
      <c r="B1360" t="s">
        <v>4773</v>
      </c>
      <c r="D1360" t="b">
        <f>IFERROR(VLOOKUP(B1360,PatData!$A$2:$A$2000,1,),"")&lt;&gt;""</f>
        <v>1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35">
      <c r="A1361" t="s">
        <v>2141</v>
      </c>
      <c r="B1361" t="s">
        <v>4774</v>
      </c>
      <c r="D1361" t="b">
        <f>IFERROR(VLOOKUP(B1361,PatData!$A$2:$A$2000,1,),"")&lt;&gt;""</f>
        <v>1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35">
      <c r="A1362" t="s">
        <v>2142</v>
      </c>
      <c r="B1362" t="s">
        <v>4775</v>
      </c>
      <c r="D1362" t="b">
        <f>IFERROR(VLOOKUP(B1362,PatData!$A$2:$A$2000,1,),"")&lt;&gt;""</f>
        <v>1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35">
      <c r="A1363" t="s">
        <v>2143</v>
      </c>
      <c r="B1363" t="s">
        <v>4776</v>
      </c>
      <c r="D1363" t="b">
        <f>IFERROR(VLOOKUP(B1363,PatData!$A$2:$A$2000,1,),"")&lt;&gt;""</f>
        <v>1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35">
      <c r="A1364" t="s">
        <v>2144</v>
      </c>
      <c r="B1364" t="s">
        <v>4777</v>
      </c>
      <c r="D1364" t="b">
        <f>IFERROR(VLOOKUP(B1364,PatData!$A$2:$A$2000,1,),"")&lt;&gt;""</f>
        <v>1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35">
      <c r="A1365" t="s">
        <v>2145</v>
      </c>
      <c r="B1365" t="s">
        <v>4778</v>
      </c>
      <c r="D1365" t="b">
        <f>IFERROR(VLOOKUP(B1365,PatData!$A$2:$A$2000,1,),"")&lt;&gt;""</f>
        <v>1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35">
      <c r="A1366" t="s">
        <v>2146</v>
      </c>
      <c r="B1366" t="s">
        <v>4779</v>
      </c>
      <c r="D1366" t="b">
        <f>IFERROR(VLOOKUP(B1366,PatData!$A$2:$A$2000,1,),"")&lt;&gt;""</f>
        <v>1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35">
      <c r="A1367" t="s">
        <v>2147</v>
      </c>
      <c r="B1367" t="s">
        <v>4780</v>
      </c>
      <c r="D1367" t="b">
        <f>IFERROR(VLOOKUP(B1367,PatData!$A$2:$A$2000,1,),"")&lt;&gt;""</f>
        <v>1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35">
      <c r="A1368" t="s">
        <v>2148</v>
      </c>
      <c r="B1368" t="s">
        <v>4781</v>
      </c>
      <c r="D1368" t="b">
        <f>IFERROR(VLOOKUP(B1368,PatData!$A$2:$A$2000,1,),"")&lt;&gt;""</f>
        <v>1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35">
      <c r="A1369" t="s">
        <v>2149</v>
      </c>
      <c r="B1369" t="s">
        <v>4782</v>
      </c>
      <c r="D1369" t="b">
        <f>IFERROR(VLOOKUP(B1369,PatData!$A$2:$A$2000,1,),"")&lt;&gt;""</f>
        <v>1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35">
      <c r="A1370" t="s">
        <v>2150</v>
      </c>
      <c r="B1370" t="s">
        <v>4783</v>
      </c>
      <c r="D1370" t="b">
        <f>IFERROR(VLOOKUP(B1370,PatData!$A$2:$A$2000,1,),"")&lt;&gt;""</f>
        <v>1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35">
      <c r="A1371" t="s">
        <v>2926</v>
      </c>
      <c r="B1371" t="s">
        <v>4784</v>
      </c>
      <c r="D1371" t="b">
        <f>IFERROR(VLOOKUP(B1371,PatData!$A$2:$A$2000,1,),"")&lt;&gt;""</f>
        <v>1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35">
      <c r="A1372" t="s">
        <v>2151</v>
      </c>
      <c r="B1372" t="s">
        <v>4785</v>
      </c>
      <c r="D1372" t="b">
        <f>IFERROR(VLOOKUP(B1372,PatData!$A$2:$A$2000,1,),"")&lt;&gt;""</f>
        <v>1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35">
      <c r="A1373" t="s">
        <v>2152</v>
      </c>
      <c r="B1373" t="s">
        <v>4786</v>
      </c>
      <c r="D1373" t="b">
        <f>IFERROR(VLOOKUP(B1373,PatData!$A$2:$A$2000,1,),"")&lt;&gt;""</f>
        <v>1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35">
      <c r="A1374" t="s">
        <v>2153</v>
      </c>
      <c r="B1374" t="s">
        <v>4787</v>
      </c>
      <c r="D1374" t="b">
        <f>IFERROR(VLOOKUP(B1374,PatData!$A$2:$A$2000,1,),"")&lt;&gt;""</f>
        <v>1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35">
      <c r="A1375" t="s">
        <v>2154</v>
      </c>
      <c r="B1375" t="s">
        <v>4788</v>
      </c>
      <c r="D1375" t="b">
        <f>IFERROR(VLOOKUP(B1375,PatData!$A$2:$A$2000,1,),"")&lt;&gt;""</f>
        <v>1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35">
      <c r="A1376" t="s">
        <v>2155</v>
      </c>
      <c r="B1376" t="s">
        <v>4789</v>
      </c>
      <c r="D1376" t="b">
        <f>IFERROR(VLOOKUP(B1376,PatData!$A$2:$A$2000,1,),"")&lt;&gt;""</f>
        <v>1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35">
      <c r="A1377" t="s">
        <v>2156</v>
      </c>
      <c r="B1377" t="s">
        <v>4790</v>
      </c>
      <c r="D1377" t="b">
        <f>IFERROR(VLOOKUP(B1377,PatData!$A$2:$A$2000,1,),"")&lt;&gt;""</f>
        <v>1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35">
      <c r="A1378" t="s">
        <v>2157</v>
      </c>
      <c r="B1378" t="s">
        <v>4791</v>
      </c>
      <c r="D1378" t="b">
        <f>IFERROR(VLOOKUP(B1378,PatData!$A$2:$A$2000,1,),"")&lt;&gt;""</f>
        <v>1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35">
      <c r="A1379" t="s">
        <v>2158</v>
      </c>
      <c r="B1379" t="s">
        <v>4792</v>
      </c>
      <c r="D1379" t="b">
        <f>IFERROR(VLOOKUP(B1379,PatData!$A$2:$A$2000,1,),"")&lt;&gt;""</f>
        <v>1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35">
      <c r="A1380" t="s">
        <v>2159</v>
      </c>
      <c r="B1380" t="s">
        <v>4793</v>
      </c>
      <c r="D1380" t="b">
        <f>IFERROR(VLOOKUP(B1380,PatData!$A$2:$A$2000,1,),"")&lt;&gt;""</f>
        <v>1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35">
      <c r="A1381" t="s">
        <v>2160</v>
      </c>
      <c r="B1381" t="s">
        <v>4794</v>
      </c>
      <c r="D1381" t="b">
        <f>IFERROR(VLOOKUP(B1381,PatData!$A$2:$A$2000,1,),"")&lt;&gt;""</f>
        <v>1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35">
      <c r="A1382" t="s">
        <v>2161</v>
      </c>
      <c r="B1382" t="s">
        <v>4795</v>
      </c>
      <c r="D1382" t="b">
        <f>IFERROR(VLOOKUP(B1382,PatData!$A$2:$A$2000,1,),"")&lt;&gt;""</f>
        <v>1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35">
      <c r="A1383" t="s">
        <v>2162</v>
      </c>
      <c r="B1383" t="s">
        <v>4796</v>
      </c>
      <c r="D1383" t="b">
        <f>IFERROR(VLOOKUP(B1383,PatData!$A$2:$A$2000,1,),"")&lt;&gt;""</f>
        <v>1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35">
      <c r="A1384" t="s">
        <v>2163</v>
      </c>
      <c r="B1384" t="s">
        <v>4797</v>
      </c>
      <c r="D1384" t="b">
        <f>IFERROR(VLOOKUP(B1384,PatData!$A$2:$A$2000,1,),"")&lt;&gt;""</f>
        <v>1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35">
      <c r="A1385" t="s">
        <v>2164</v>
      </c>
      <c r="B1385" t="s">
        <v>4798</v>
      </c>
      <c r="D1385" t="b">
        <f>IFERROR(VLOOKUP(B1385,PatData!$A$2:$A$2000,1,),"")&lt;&gt;""</f>
        <v>1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35">
      <c r="A1386" t="s">
        <v>2165</v>
      </c>
      <c r="B1386" t="s">
        <v>4799</v>
      </c>
      <c r="D1386" t="b">
        <f>IFERROR(VLOOKUP(B1386,PatData!$A$2:$A$2000,1,),"")&lt;&gt;""</f>
        <v>1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35">
      <c r="A1387" t="s">
        <v>2166</v>
      </c>
      <c r="B1387" t="s">
        <v>4800</v>
      </c>
      <c r="D1387" t="b">
        <f>IFERROR(VLOOKUP(B1387,PatData!$A$2:$A$2000,1,),"")&lt;&gt;""</f>
        <v>1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35">
      <c r="A1388" t="s">
        <v>2167</v>
      </c>
      <c r="B1388" t="s">
        <v>4801</v>
      </c>
      <c r="D1388" t="b">
        <f>IFERROR(VLOOKUP(B1388,PatData!$A$2:$A$2000,1,),"")&lt;&gt;""</f>
        <v>1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35">
      <c r="A1389" t="s">
        <v>2168</v>
      </c>
      <c r="B1389" t="s">
        <v>4802</v>
      </c>
      <c r="D1389" t="b">
        <f>IFERROR(VLOOKUP(B1389,PatData!$A$2:$A$2000,1,),"")&lt;&gt;""</f>
        <v>1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35">
      <c r="A1390" t="s">
        <v>2169</v>
      </c>
      <c r="B1390" t="s">
        <v>4803</v>
      </c>
      <c r="D1390" t="b">
        <f>IFERROR(VLOOKUP(B1390,PatData!$A$2:$A$2000,1,),"")&lt;&gt;""</f>
        <v>1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35">
      <c r="A1391" t="s">
        <v>2170</v>
      </c>
      <c r="B1391" t="s">
        <v>4804</v>
      </c>
      <c r="D1391" t="b">
        <f>IFERROR(VLOOKUP(B1391,PatData!$A$2:$A$2000,1,),"")&lt;&gt;""</f>
        <v>1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35">
      <c r="A1392" t="s">
        <v>2171</v>
      </c>
      <c r="B1392" t="s">
        <v>4805</v>
      </c>
      <c r="D1392" t="b">
        <f>IFERROR(VLOOKUP(B1392,PatData!$A$2:$A$2000,1,),"")&lt;&gt;""</f>
        <v>1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35">
      <c r="A1393" t="s">
        <v>2172</v>
      </c>
      <c r="B1393" t="s">
        <v>4806</v>
      </c>
      <c r="D1393" t="b">
        <f>IFERROR(VLOOKUP(B1393,PatData!$A$2:$A$2000,1,),"")&lt;&gt;""</f>
        <v>1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35">
      <c r="A1394" t="s">
        <v>2173</v>
      </c>
      <c r="B1394" t="s">
        <v>4807</v>
      </c>
      <c r="D1394" t="b">
        <f>IFERROR(VLOOKUP(B1394,PatData!$A$2:$A$2000,1,),"")&lt;&gt;""</f>
        <v>1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35">
      <c r="A1395" t="s">
        <v>2174</v>
      </c>
      <c r="B1395" t="s">
        <v>4808</v>
      </c>
      <c r="D1395" t="b">
        <f>IFERROR(VLOOKUP(B1395,PatData!$A$2:$A$2000,1,),"")&lt;&gt;""</f>
        <v>1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35">
      <c r="A1396" t="s">
        <v>2175</v>
      </c>
      <c r="B1396" t="s">
        <v>4809</v>
      </c>
      <c r="D1396" t="b">
        <f>IFERROR(VLOOKUP(B1396,PatData!$A$2:$A$2000,1,),"")&lt;&gt;""</f>
        <v>1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35">
      <c r="A1397" t="s">
        <v>2176</v>
      </c>
      <c r="B1397" t="s">
        <v>4810</v>
      </c>
      <c r="D1397" t="b">
        <f>IFERROR(VLOOKUP(B1397,PatData!$A$2:$A$2000,1,),"")&lt;&gt;""</f>
        <v>1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35">
      <c r="A1398" t="s">
        <v>2177</v>
      </c>
      <c r="B1398" t="s">
        <v>4811</v>
      </c>
      <c r="D1398" t="b">
        <f>IFERROR(VLOOKUP(B1398,PatData!$A$2:$A$2000,1,),"")&lt;&gt;""</f>
        <v>1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35">
      <c r="A1399" t="s">
        <v>2178</v>
      </c>
      <c r="B1399" t="s">
        <v>4812</v>
      </c>
      <c r="D1399" t="b">
        <f>IFERROR(VLOOKUP(B1399,PatData!$A$2:$A$2000,1,),"")&lt;&gt;""</f>
        <v>1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35">
      <c r="A1400" t="s">
        <v>2179</v>
      </c>
      <c r="B1400" t="s">
        <v>4813</v>
      </c>
      <c r="D1400" t="b">
        <f>IFERROR(VLOOKUP(B1400,PatData!$A$2:$A$2000,1,),"")&lt;&gt;""</f>
        <v>1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35">
      <c r="A1401" t="s">
        <v>2180</v>
      </c>
      <c r="B1401" t="s">
        <v>4814</v>
      </c>
      <c r="D1401" t="b">
        <f>IFERROR(VLOOKUP(B1401,PatData!$A$2:$A$2000,1,),"")&lt;&gt;""</f>
        <v>1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35">
      <c r="A1402" t="s">
        <v>2181</v>
      </c>
      <c r="B1402" t="s">
        <v>4815</v>
      </c>
      <c r="D1402" t="b">
        <f>IFERROR(VLOOKUP(B1402,PatData!$A$2:$A$2000,1,),"")&lt;&gt;""</f>
        <v>1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35">
      <c r="A1403" t="s">
        <v>2182</v>
      </c>
      <c r="B1403" t="s">
        <v>4816</v>
      </c>
      <c r="D1403" t="b">
        <f>IFERROR(VLOOKUP(B1403,PatData!$A$2:$A$2000,1,),"")&lt;&gt;""</f>
        <v>1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35">
      <c r="A1404" t="s">
        <v>2183</v>
      </c>
      <c r="B1404" t="s">
        <v>4817</v>
      </c>
      <c r="D1404" t="b">
        <f>IFERROR(VLOOKUP(B1404,PatData!$A$2:$A$2000,1,),"")&lt;&gt;""</f>
        <v>1</v>
      </c>
      <c r="E1404">
        <v>1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35">
      <c r="A1405" t="s">
        <v>2184</v>
      </c>
      <c r="B1405" t="s">
        <v>4818</v>
      </c>
      <c r="D1405" t="b">
        <f>IFERROR(VLOOKUP(B1405,PatData!$A$2:$A$2000,1,),"")&lt;&gt;""</f>
        <v>1</v>
      </c>
      <c r="E1405">
        <v>1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35">
      <c r="A1406" t="s">
        <v>2185</v>
      </c>
      <c r="B1406" t="s">
        <v>4819</v>
      </c>
      <c r="D1406" t="b">
        <f>IFERROR(VLOOKUP(B1406,PatData!$A$2:$A$2000,1,),"")&lt;&gt;""</f>
        <v>1</v>
      </c>
      <c r="E1406">
        <v>1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35">
      <c r="A1407" t="s">
        <v>2186</v>
      </c>
      <c r="B1407" t="s">
        <v>4820</v>
      </c>
      <c r="D1407" t="b">
        <f>IFERROR(VLOOKUP(B1407,PatData!$A$2:$A$2000,1,),"")&lt;&gt;""</f>
        <v>1</v>
      </c>
      <c r="E1407">
        <v>1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35">
      <c r="A1408" t="s">
        <v>2187</v>
      </c>
      <c r="B1408" t="s">
        <v>4821</v>
      </c>
      <c r="D1408" t="b">
        <f>IFERROR(VLOOKUP(B1408,PatData!$A$2:$A$2000,1,),"")&lt;&gt;""</f>
        <v>1</v>
      </c>
      <c r="E1408">
        <v>1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35">
      <c r="A1409" t="s">
        <v>2188</v>
      </c>
      <c r="B1409" t="s">
        <v>4822</v>
      </c>
      <c r="D1409" t="b">
        <f>IFERROR(VLOOKUP(B1409,PatData!$A$2:$A$2000,1,),"")&lt;&gt;""</f>
        <v>1</v>
      </c>
      <c r="E1409">
        <v>1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35">
      <c r="A1410" t="s">
        <v>2189</v>
      </c>
      <c r="B1410" t="s">
        <v>4823</v>
      </c>
      <c r="D1410" t="b">
        <f>IFERROR(VLOOKUP(B1410,PatData!$A$2:$A$2000,1,),"")&lt;&gt;""</f>
        <v>1</v>
      </c>
      <c r="E1410">
        <v>1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35">
      <c r="A1411" t="s">
        <v>2190</v>
      </c>
      <c r="B1411" t="s">
        <v>4824</v>
      </c>
      <c r="D1411" t="b">
        <f>IFERROR(VLOOKUP(B1411,PatData!$A$2:$A$2000,1,),"")&lt;&gt;""</f>
        <v>1</v>
      </c>
      <c r="E1411">
        <v>1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35">
      <c r="A1412" t="s">
        <v>2191</v>
      </c>
      <c r="B1412" t="s">
        <v>4825</v>
      </c>
      <c r="D1412" t="b">
        <f>IFERROR(VLOOKUP(B1412,PatData!$A$2:$A$2000,1,),"")&lt;&gt;""</f>
        <v>1</v>
      </c>
      <c r="E1412">
        <v>1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35">
      <c r="A1413" t="s">
        <v>2192</v>
      </c>
      <c r="B1413" t="s">
        <v>4826</v>
      </c>
      <c r="D1413" t="b">
        <f>IFERROR(VLOOKUP(B1413,PatData!$A$2:$A$2000,1,),"")&lt;&gt;""</f>
        <v>1</v>
      </c>
      <c r="E1413">
        <v>1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35">
      <c r="A1414" t="s">
        <v>2193</v>
      </c>
      <c r="B1414" t="s">
        <v>4827</v>
      </c>
      <c r="D1414" t="b">
        <f>IFERROR(VLOOKUP(B1414,PatData!$A$2:$A$2000,1,),"")&lt;&gt;""</f>
        <v>1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35">
      <c r="A1415" t="s">
        <v>2194</v>
      </c>
      <c r="B1415" t="s">
        <v>4828</v>
      </c>
      <c r="D1415" t="b">
        <f>IFERROR(VLOOKUP(B1415,PatData!$A$2:$A$2000,1,),"")&lt;&gt;""</f>
        <v>1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35">
      <c r="A1416" t="s">
        <v>2195</v>
      </c>
      <c r="B1416" t="s">
        <v>4829</v>
      </c>
      <c r="D1416" t="b">
        <f>IFERROR(VLOOKUP(B1416,PatData!$A$2:$A$2000,1,),"")&lt;&gt;""</f>
        <v>1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35">
      <c r="A1417" t="s">
        <v>2196</v>
      </c>
      <c r="B1417" t="s">
        <v>4830</v>
      </c>
      <c r="D1417" t="b">
        <f>IFERROR(VLOOKUP(B1417,PatData!$A$2:$A$2000,1,),"")&lt;&gt;""</f>
        <v>1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35">
      <c r="A1418" t="s">
        <v>2197</v>
      </c>
      <c r="B1418" t="s">
        <v>4831</v>
      </c>
      <c r="D1418" t="b">
        <f>IFERROR(VLOOKUP(B1418,PatData!$A$2:$A$2000,1,),"")&lt;&gt;""</f>
        <v>1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35">
      <c r="A1419" t="s">
        <v>2198</v>
      </c>
      <c r="B1419" t="s">
        <v>4832</v>
      </c>
      <c r="D1419" t="b">
        <f>IFERROR(VLOOKUP(B1419,PatData!$A$2:$A$2000,1,),"")&lt;&gt;""</f>
        <v>1</v>
      </c>
      <c r="E1419">
        <v>1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35">
      <c r="A1420" t="s">
        <v>2199</v>
      </c>
      <c r="B1420" t="s">
        <v>4833</v>
      </c>
      <c r="D1420" t="b">
        <f>IFERROR(VLOOKUP(B1420,PatData!$A$2:$A$2000,1,),"")&lt;&gt;""</f>
        <v>1</v>
      </c>
      <c r="E1420">
        <v>1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35">
      <c r="A1421" t="s">
        <v>2200</v>
      </c>
      <c r="B1421" t="s">
        <v>4834</v>
      </c>
      <c r="D1421" t="b">
        <f>IFERROR(VLOOKUP(B1421,PatData!$A$2:$A$2000,1,),"")&lt;&gt;""</f>
        <v>1</v>
      </c>
      <c r="E1421">
        <v>1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35">
      <c r="A1422" t="s">
        <v>2201</v>
      </c>
      <c r="B1422" t="s">
        <v>4835</v>
      </c>
      <c r="D1422" t="b">
        <f>IFERROR(VLOOKUP(B1422,PatData!$A$2:$A$2000,1,),"")&lt;&gt;""</f>
        <v>1</v>
      </c>
      <c r="E1422">
        <v>1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35">
      <c r="A1423" t="s">
        <v>2202</v>
      </c>
      <c r="B1423" t="s">
        <v>4836</v>
      </c>
      <c r="D1423" t="b">
        <f>IFERROR(VLOOKUP(B1423,PatData!$A$2:$A$2000,1,),"")&lt;&gt;""</f>
        <v>1</v>
      </c>
      <c r="E1423">
        <v>1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35">
      <c r="A1424" t="s">
        <v>2203</v>
      </c>
      <c r="B1424" t="s">
        <v>4837</v>
      </c>
      <c r="D1424" t="b">
        <f>IFERROR(VLOOKUP(B1424,PatData!$A$2:$A$2000,1,),"")&lt;&gt;""</f>
        <v>1</v>
      </c>
      <c r="E1424">
        <v>1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35">
      <c r="A1425" t="s">
        <v>2204</v>
      </c>
      <c r="B1425" t="s">
        <v>4838</v>
      </c>
      <c r="D1425" t="b">
        <f>IFERROR(VLOOKUP(B1425,PatData!$A$2:$A$2000,1,),"")&lt;&gt;""</f>
        <v>1</v>
      </c>
      <c r="E1425">
        <v>1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35">
      <c r="A1426" t="s">
        <v>2205</v>
      </c>
      <c r="B1426" t="s">
        <v>4839</v>
      </c>
      <c r="D1426" t="b">
        <f>IFERROR(VLOOKUP(B1426,PatData!$A$2:$A$2000,1,),"")&lt;&gt;""</f>
        <v>1</v>
      </c>
      <c r="E1426">
        <v>1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35">
      <c r="A1427" t="s">
        <v>2206</v>
      </c>
      <c r="B1427" t="s">
        <v>4840</v>
      </c>
      <c r="D1427" t="b">
        <f>IFERROR(VLOOKUP(B1427,PatData!$A$2:$A$2000,1,),"")&lt;&gt;""</f>
        <v>1</v>
      </c>
      <c r="E1427">
        <v>1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35">
      <c r="A1428" t="s">
        <v>2207</v>
      </c>
      <c r="B1428" t="s">
        <v>4841</v>
      </c>
      <c r="D1428" t="b">
        <f>IFERROR(VLOOKUP(B1428,PatData!$A$2:$A$2000,1,),"")&lt;&gt;""</f>
        <v>1</v>
      </c>
      <c r="E1428">
        <v>1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35">
      <c r="A1429" t="s">
        <v>2208</v>
      </c>
      <c r="B1429" t="s">
        <v>4842</v>
      </c>
      <c r="D1429" t="b">
        <f>IFERROR(VLOOKUP(B1429,PatData!$A$2:$A$2000,1,),"")&lt;&gt;""</f>
        <v>1</v>
      </c>
      <c r="E1429">
        <v>1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35">
      <c r="A1430" t="s">
        <v>2209</v>
      </c>
      <c r="B1430" t="s">
        <v>4843</v>
      </c>
      <c r="D1430" t="b">
        <f>IFERROR(VLOOKUP(B1430,PatData!$A$2:$A$2000,1,),"")&lt;&gt;""</f>
        <v>1</v>
      </c>
      <c r="E1430">
        <v>1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35">
      <c r="A1431" t="s">
        <v>2210</v>
      </c>
      <c r="B1431" t="s">
        <v>4844</v>
      </c>
      <c r="D1431" t="b">
        <f>IFERROR(VLOOKUP(B1431,PatData!$A$2:$A$2000,1,),"")&lt;&gt;""</f>
        <v>1</v>
      </c>
      <c r="E1431">
        <v>1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35">
      <c r="A1432" t="s">
        <v>2211</v>
      </c>
      <c r="B1432" t="s">
        <v>4845</v>
      </c>
      <c r="D1432" t="b">
        <f>IFERROR(VLOOKUP(B1432,PatData!$A$2:$A$2000,1,),"")&lt;&gt;""</f>
        <v>1</v>
      </c>
      <c r="E1432">
        <v>1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35">
      <c r="A1433" t="s">
        <v>2212</v>
      </c>
      <c r="B1433" t="s">
        <v>4846</v>
      </c>
      <c r="D1433" t="b">
        <f>IFERROR(VLOOKUP(B1433,PatData!$A$2:$A$2000,1,),"")&lt;&gt;""</f>
        <v>1</v>
      </c>
      <c r="E1433">
        <v>1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35">
      <c r="A1434" t="s">
        <v>2213</v>
      </c>
      <c r="B1434" t="s">
        <v>4847</v>
      </c>
      <c r="D1434" t="b">
        <f>IFERROR(VLOOKUP(B1434,PatData!$A$2:$A$2000,1,),"")&lt;&gt;""</f>
        <v>1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35">
      <c r="A1435" t="s">
        <v>2214</v>
      </c>
      <c r="B1435" t="s">
        <v>4848</v>
      </c>
      <c r="D1435" t="b">
        <f>IFERROR(VLOOKUP(B1435,PatData!$A$2:$A$2000,1,),"")&lt;&gt;""</f>
        <v>1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35">
      <c r="A1436" t="s">
        <v>2215</v>
      </c>
      <c r="B1436" t="s">
        <v>4849</v>
      </c>
      <c r="D1436" t="b">
        <f>IFERROR(VLOOKUP(B1436,PatData!$A$2:$A$2000,1,),"")&lt;&gt;""</f>
        <v>1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35">
      <c r="A1437" t="s">
        <v>2216</v>
      </c>
      <c r="B1437" t="s">
        <v>4850</v>
      </c>
      <c r="D1437" t="b">
        <f>IFERROR(VLOOKUP(B1437,PatData!$A$2:$A$2000,1,),"")&lt;&gt;""</f>
        <v>1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35">
      <c r="A1438" t="s">
        <v>2217</v>
      </c>
      <c r="B1438" t="s">
        <v>4851</v>
      </c>
      <c r="D1438" t="b">
        <f>IFERROR(VLOOKUP(B1438,PatData!$A$2:$A$2000,1,),"")&lt;&gt;""</f>
        <v>1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35">
      <c r="A1439" t="s">
        <v>2218</v>
      </c>
      <c r="B1439" t="s">
        <v>4852</v>
      </c>
      <c r="D1439" t="b">
        <f>IFERROR(VLOOKUP(B1439,PatData!$A$2:$A$2000,1,),"")&lt;&gt;""</f>
        <v>1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35">
      <c r="A1440" t="s">
        <v>2219</v>
      </c>
      <c r="B1440" t="s">
        <v>4853</v>
      </c>
      <c r="D1440" t="b">
        <f>IFERROR(VLOOKUP(B1440,PatData!$A$2:$A$2000,1,),"")&lt;&gt;""</f>
        <v>1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35">
      <c r="A1441" t="s">
        <v>2220</v>
      </c>
      <c r="B1441" t="s">
        <v>4854</v>
      </c>
      <c r="D1441" t="b">
        <f>IFERROR(VLOOKUP(B1441,PatData!$A$2:$A$2000,1,),"")&lt;&gt;""</f>
        <v>1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35">
      <c r="A1442" t="s">
        <v>2221</v>
      </c>
      <c r="B1442" t="s">
        <v>4855</v>
      </c>
      <c r="D1442" t="b">
        <f>IFERROR(VLOOKUP(B1442,PatData!$A$2:$A$2000,1,),"")&lt;&gt;""</f>
        <v>1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35">
      <c r="A1443" t="s">
        <v>2222</v>
      </c>
      <c r="B1443" t="s">
        <v>4856</v>
      </c>
      <c r="D1443" t="b">
        <f>IFERROR(VLOOKUP(B1443,PatData!$A$2:$A$2000,1,),"")&lt;&gt;""</f>
        <v>1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35">
      <c r="A1444" t="s">
        <v>2223</v>
      </c>
      <c r="B1444" t="s">
        <v>4857</v>
      </c>
      <c r="D1444" t="b">
        <f>IFERROR(VLOOKUP(B1444,PatData!$A$2:$A$2000,1,),"")&lt;&gt;""</f>
        <v>1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35">
      <c r="A1445" t="s">
        <v>2224</v>
      </c>
      <c r="B1445" t="s">
        <v>4858</v>
      </c>
      <c r="D1445" t="b">
        <f>IFERROR(VLOOKUP(B1445,PatData!$A$2:$A$2000,1,),"")&lt;&gt;""</f>
        <v>1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35">
      <c r="A1446" t="s">
        <v>2225</v>
      </c>
      <c r="B1446" t="s">
        <v>4859</v>
      </c>
      <c r="D1446" t="b">
        <f>IFERROR(VLOOKUP(B1446,PatData!$A$2:$A$2000,1,),"")&lt;&gt;""</f>
        <v>1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35">
      <c r="A1447" t="s">
        <v>2226</v>
      </c>
      <c r="B1447" t="s">
        <v>4860</v>
      </c>
      <c r="D1447" t="b">
        <f>IFERROR(VLOOKUP(B1447,PatData!$A$2:$A$2000,1,),"")&lt;&gt;""</f>
        <v>1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35">
      <c r="A1448" t="s">
        <v>2227</v>
      </c>
      <c r="B1448" t="s">
        <v>4861</v>
      </c>
      <c r="D1448" t="b">
        <f>IFERROR(VLOOKUP(B1448,PatData!$A$2:$A$2000,1,),"")&lt;&gt;""</f>
        <v>1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35">
      <c r="A1449" t="s">
        <v>2924</v>
      </c>
      <c r="B1449" t="s">
        <v>4862</v>
      </c>
      <c r="D1449" t="b">
        <f>IFERROR(VLOOKUP(B1449,PatData!$A$2:$A$2000,1,),"")&lt;&gt;""</f>
        <v>1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35">
      <c r="A1450" t="s">
        <v>2228</v>
      </c>
      <c r="B1450" t="s">
        <v>4863</v>
      </c>
      <c r="D1450" t="b">
        <f>IFERROR(VLOOKUP(B1450,PatData!$A$2:$A$2000,1,),"")&lt;&gt;""</f>
        <v>1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35">
      <c r="A1451" t="s">
        <v>2229</v>
      </c>
      <c r="B1451" t="s">
        <v>4864</v>
      </c>
      <c r="D1451" t="b">
        <f>IFERROR(VLOOKUP(B1451,PatData!$A$2:$A$2000,1,),"")&lt;&gt;""</f>
        <v>1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35">
      <c r="A1452" t="s">
        <v>2230</v>
      </c>
      <c r="B1452" t="s">
        <v>4865</v>
      </c>
      <c r="D1452" t="b">
        <f>IFERROR(VLOOKUP(B1452,PatData!$A$2:$A$2000,1,),"")&lt;&gt;""</f>
        <v>1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35">
      <c r="A1453" t="s">
        <v>2231</v>
      </c>
      <c r="B1453" t="s">
        <v>4866</v>
      </c>
      <c r="D1453" t="b">
        <f>IFERROR(VLOOKUP(B1453,PatData!$A$2:$A$2000,1,),"")&lt;&gt;""</f>
        <v>1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35">
      <c r="A1454" t="s">
        <v>2232</v>
      </c>
      <c r="B1454" t="s">
        <v>4867</v>
      </c>
      <c r="D1454" t="b">
        <f>IFERROR(VLOOKUP(B1454,PatData!$A$2:$A$2000,1,),"")&lt;&gt;""</f>
        <v>1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35">
      <c r="A1455" t="s">
        <v>2233</v>
      </c>
      <c r="B1455" t="s">
        <v>4868</v>
      </c>
      <c r="D1455" t="b">
        <f>IFERROR(VLOOKUP(B1455,PatData!$A$2:$A$2000,1,),"")&lt;&gt;""</f>
        <v>1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35">
      <c r="A1456" t="s">
        <v>2234</v>
      </c>
      <c r="B1456" t="s">
        <v>4869</v>
      </c>
      <c r="D1456" t="b">
        <f>IFERROR(VLOOKUP(B1456,PatData!$A$2:$A$2000,1,),"")&lt;&gt;""</f>
        <v>1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35">
      <c r="A1457" t="s">
        <v>2235</v>
      </c>
      <c r="B1457" t="s">
        <v>4870</v>
      </c>
      <c r="D1457" t="b">
        <f>IFERROR(VLOOKUP(B1457,PatData!$A$2:$A$2000,1,),"")&lt;&gt;""</f>
        <v>1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35">
      <c r="A1458" t="s">
        <v>2236</v>
      </c>
      <c r="B1458" t="s">
        <v>4871</v>
      </c>
      <c r="D1458" t="b">
        <f>IFERROR(VLOOKUP(B1458,PatData!$A$2:$A$2000,1,),"")&lt;&gt;""</f>
        <v>1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35">
      <c r="A1459" t="s">
        <v>2237</v>
      </c>
      <c r="B1459" t="s">
        <v>4872</v>
      </c>
      <c r="D1459" t="b">
        <f>IFERROR(VLOOKUP(B1459,PatData!$A$2:$A$2000,1,),"")&lt;&gt;""</f>
        <v>1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35">
      <c r="A1460" t="s">
        <v>2238</v>
      </c>
      <c r="B1460" t="s">
        <v>4873</v>
      </c>
      <c r="D1460" t="b">
        <f>IFERROR(VLOOKUP(B1460,PatData!$A$2:$A$2000,1,),"")&lt;&gt;""</f>
        <v>1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35">
      <c r="A1461" t="s">
        <v>2239</v>
      </c>
      <c r="B1461" t="s">
        <v>4874</v>
      </c>
      <c r="D1461" t="b">
        <f>IFERROR(VLOOKUP(B1461,PatData!$A$2:$A$2000,1,),"")&lt;&gt;""</f>
        <v>1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35">
      <c r="A1462" t="s">
        <v>2240</v>
      </c>
      <c r="B1462" t="s">
        <v>4875</v>
      </c>
      <c r="D1462" t="b">
        <f>IFERROR(VLOOKUP(B1462,PatData!$A$2:$A$2000,1,),"")&lt;&gt;""</f>
        <v>1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35">
      <c r="A1463" t="s">
        <v>2241</v>
      </c>
      <c r="B1463" t="s">
        <v>4876</v>
      </c>
      <c r="D1463" t="b">
        <f>IFERROR(VLOOKUP(B1463,PatData!$A$2:$A$2000,1,),"")&lt;&gt;""</f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35">
      <c r="A1464" t="s">
        <v>2242</v>
      </c>
      <c r="B1464" t="s">
        <v>4877</v>
      </c>
      <c r="D1464" t="b">
        <f>IFERROR(VLOOKUP(B1464,PatData!$A$2:$A$2000,1,),"")&lt;&gt;""</f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35">
      <c r="A1465" t="s">
        <v>2243</v>
      </c>
      <c r="B1465" t="s">
        <v>4878</v>
      </c>
      <c r="D1465" t="b">
        <f>IFERROR(VLOOKUP(B1465,PatData!$A$2:$A$2000,1,),"")&lt;&gt;""</f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35">
      <c r="A1466" t="s">
        <v>2244</v>
      </c>
      <c r="B1466" t="s">
        <v>4879</v>
      </c>
      <c r="D1466" t="b">
        <f>IFERROR(VLOOKUP(B1466,PatData!$A$2:$A$2000,1,),"")&lt;&gt;""</f>
        <v>1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35">
      <c r="A1467" t="s">
        <v>2245</v>
      </c>
      <c r="B1467" t="s">
        <v>4880</v>
      </c>
      <c r="D1467" t="b">
        <f>IFERROR(VLOOKUP(B1467,PatData!$A$2:$A$2000,1,),"")&lt;&gt;""</f>
        <v>1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35">
      <c r="A1468" t="s">
        <v>2246</v>
      </c>
      <c r="B1468" t="s">
        <v>4881</v>
      </c>
      <c r="D1468" t="b">
        <f>IFERROR(VLOOKUP(B1468,PatData!$A$2:$A$2000,1,),"")&lt;&gt;""</f>
        <v>1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35">
      <c r="A1469" t="s">
        <v>2247</v>
      </c>
      <c r="B1469" t="s">
        <v>4882</v>
      </c>
      <c r="D1469" t="b">
        <f>IFERROR(VLOOKUP(B1469,PatData!$A$2:$A$2000,1,),"")&lt;&gt;""</f>
        <v>1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35">
      <c r="A1470" t="s">
        <v>2248</v>
      </c>
      <c r="B1470" t="s">
        <v>4883</v>
      </c>
      <c r="D1470" t="b">
        <f>IFERROR(VLOOKUP(B1470,PatData!$A$2:$A$2000,1,),"")&lt;&gt;""</f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35">
      <c r="A1471" t="s">
        <v>2249</v>
      </c>
      <c r="B1471" t="s">
        <v>4884</v>
      </c>
      <c r="D1471" t="b">
        <f>IFERROR(VLOOKUP(B1471,PatData!$A$2:$A$2000,1,),"")&lt;&gt;""</f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35">
      <c r="A1472" t="s">
        <v>2250</v>
      </c>
      <c r="B1472" t="s">
        <v>4885</v>
      </c>
      <c r="D1472" t="b">
        <f>IFERROR(VLOOKUP(B1472,PatData!$A$2:$A$2000,1,),"")&lt;&gt;""</f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35">
      <c r="A1473" t="s">
        <v>2251</v>
      </c>
      <c r="B1473" t="s">
        <v>4886</v>
      </c>
      <c r="D1473" t="b">
        <f>IFERROR(VLOOKUP(B1473,PatData!$A$2:$A$2000,1,),"")&lt;&gt;""</f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35">
      <c r="A1474" t="s">
        <v>2252</v>
      </c>
      <c r="B1474" t="s">
        <v>4887</v>
      </c>
      <c r="D1474" t="b">
        <f>IFERROR(VLOOKUP(B1474,PatData!$A$2:$A$2000,1,),"")&lt;&gt;""</f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35">
      <c r="A1475" t="s">
        <v>2253</v>
      </c>
      <c r="B1475" t="s">
        <v>4888</v>
      </c>
      <c r="D1475" t="b">
        <f>IFERROR(VLOOKUP(B1475,PatData!$A$2:$A$2000,1,),"")&lt;&gt;""</f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35">
      <c r="A1476" t="s">
        <v>2254</v>
      </c>
      <c r="B1476" t="s">
        <v>4889</v>
      </c>
      <c r="D1476" t="b">
        <f>IFERROR(VLOOKUP(B1476,PatData!$A$2:$A$2000,1,),"")&lt;&gt;""</f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35">
      <c r="A1477" t="s">
        <v>2255</v>
      </c>
      <c r="B1477" t="s">
        <v>4890</v>
      </c>
      <c r="D1477" t="b">
        <f>IFERROR(VLOOKUP(B1477,PatData!$A$2:$A$2000,1,),"")&lt;&gt;""</f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35">
      <c r="A1478" t="s">
        <v>2256</v>
      </c>
      <c r="B1478" t="s">
        <v>4891</v>
      </c>
      <c r="D1478" t="b">
        <f>IFERROR(VLOOKUP(B1478,PatData!$A$2:$A$2000,1,),"")&lt;&gt;""</f>
        <v>1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35">
      <c r="A1479" t="s">
        <v>2257</v>
      </c>
      <c r="B1479" t="s">
        <v>4892</v>
      </c>
      <c r="D1479" t="b">
        <f>IFERROR(VLOOKUP(B1479,PatData!$A$2:$A$2000,1,),"")&lt;&gt;""</f>
        <v>1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35">
      <c r="A1480" t="s">
        <v>2258</v>
      </c>
      <c r="B1480" t="s">
        <v>4893</v>
      </c>
      <c r="D1480" t="b">
        <f>IFERROR(VLOOKUP(B1480,PatData!$A$2:$A$2000,1,),"")&lt;&gt;""</f>
        <v>1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35">
      <c r="A1481" t="s">
        <v>2259</v>
      </c>
      <c r="B1481" t="s">
        <v>4894</v>
      </c>
      <c r="D1481" t="b">
        <f>IFERROR(VLOOKUP(B1481,PatData!$A$2:$A$2000,1,),"")&lt;&gt;""</f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35">
      <c r="A1482" t="s">
        <v>2260</v>
      </c>
      <c r="B1482" t="s">
        <v>4895</v>
      </c>
      <c r="D1482" t="b">
        <f>IFERROR(VLOOKUP(B1482,PatData!$A$2:$A$2000,1,),"")&lt;&gt;""</f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35">
      <c r="A1483" t="s">
        <v>2261</v>
      </c>
      <c r="B1483" t="s">
        <v>4896</v>
      </c>
      <c r="D1483" t="b">
        <f>IFERROR(VLOOKUP(B1483,PatData!$A$2:$A$2000,1,),"")&lt;&gt;""</f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35">
      <c r="A1484" t="s">
        <v>2262</v>
      </c>
      <c r="B1484" t="s">
        <v>4897</v>
      </c>
      <c r="D1484" t="b">
        <f>IFERROR(VLOOKUP(B1484,PatData!$A$2:$A$2000,1,),"")&lt;&gt;""</f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35">
      <c r="A1485" t="s">
        <v>2263</v>
      </c>
      <c r="B1485" t="s">
        <v>4898</v>
      </c>
      <c r="D1485" t="b">
        <f>IFERROR(VLOOKUP(B1485,PatData!$A$2:$A$2000,1,),"")&lt;&gt;""</f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35">
      <c r="A1486" t="s">
        <v>2264</v>
      </c>
      <c r="B1486" t="s">
        <v>4899</v>
      </c>
      <c r="D1486" t="b">
        <f>IFERROR(VLOOKUP(B1486,PatData!$A$2:$A$2000,1,),"")&lt;&gt;""</f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35">
      <c r="A1487" t="s">
        <v>2265</v>
      </c>
      <c r="B1487" t="s">
        <v>4900</v>
      </c>
      <c r="D1487" t="b">
        <f>IFERROR(VLOOKUP(B1487,PatData!$A$2:$A$2000,1,),"")&lt;&gt;""</f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35">
      <c r="A1488" t="s">
        <v>2605</v>
      </c>
      <c r="B1488" t="s">
        <v>4901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35">
      <c r="A1489" t="s">
        <v>2606</v>
      </c>
      <c r="B1489" t="s">
        <v>4902</v>
      </c>
      <c r="D1489" t="b">
        <f>IFERROR(VLOOKUP(B1489,PatData!$A$2:$A$2000,1,),"")&lt;&gt;""</f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35">
      <c r="A1490" t="s">
        <v>2611</v>
      </c>
      <c r="B1490" t="s">
        <v>4903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35">
      <c r="A1491" t="s">
        <v>2612</v>
      </c>
      <c r="B1491" t="s">
        <v>4904</v>
      </c>
      <c r="D1491" t="b">
        <f>IFERROR(VLOOKUP(B1491,PatData!$A$2:$A$2000,1,),"")&lt;&gt;""</f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35">
      <c r="A1492" t="s">
        <v>2613</v>
      </c>
      <c r="B1492" t="s">
        <v>4905</v>
      </c>
      <c r="D1492" t="b">
        <f>IFERROR(VLOOKUP(B1492,PatData!$A$2:$A$2000,1,),"")&lt;&gt;""</f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35">
      <c r="A1493" t="s">
        <v>2614</v>
      </c>
      <c r="B1493" t="s">
        <v>4906</v>
      </c>
      <c r="D1493" t="b">
        <f>IFERROR(VLOOKUP(B1493,PatData!$A$2:$A$2000,1,),"")&lt;&gt;""</f>
        <v>1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35">
      <c r="A1494" t="s">
        <v>3027</v>
      </c>
      <c r="B1494" t="s">
        <v>4907</v>
      </c>
      <c r="D1494" t="b">
        <f>IFERROR(VLOOKUP(B1494,PatData!$A$2:$A$2000,1,),"")&lt;&gt;""</f>
        <v>1</v>
      </c>
      <c r="E1494"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35">
      <c r="A1495" t="s">
        <v>2615</v>
      </c>
      <c r="B1495" t="s">
        <v>4908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35">
      <c r="A1496" t="s">
        <v>2616</v>
      </c>
      <c r="B1496" t="s">
        <v>4909</v>
      </c>
      <c r="D1496" t="b">
        <f>IFERROR(VLOOKUP(B1496,PatData!$A$2:$A$2000,1,),"")&lt;&gt;""</f>
        <v>1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35">
      <c r="A1497" t="s">
        <v>2908</v>
      </c>
      <c r="B1497" t="s">
        <v>4910</v>
      </c>
      <c r="D1497" t="b">
        <f>IFERROR(VLOOKUP(B1497,PatData!$A$2:$A$2000,1,),"")&lt;&gt;""</f>
        <v>1</v>
      </c>
      <c r="E1497">
        <v>0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35">
      <c r="A1498" t="s">
        <v>2910</v>
      </c>
      <c r="B1498" t="s">
        <v>4911</v>
      </c>
      <c r="D1498" t="b">
        <f>IFERROR(VLOOKUP(B1498,PatData!$A$2:$A$2000,1,),"")&lt;&gt;""</f>
        <v>1</v>
      </c>
      <c r="E1498" t="b">
        <v>0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35">
      <c r="A1499" t="s">
        <v>2911</v>
      </c>
      <c r="B1499" t="s">
        <v>4912</v>
      </c>
      <c r="D1499" t="b">
        <f>IFERROR(VLOOKUP(B1499,PatData!$A$2:$A$2000,1,),"")&lt;&gt;""</f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35">
      <c r="A1500" t="s">
        <v>2912</v>
      </c>
      <c r="B1500" t="s">
        <v>4913</v>
      </c>
      <c r="D1500" t="b">
        <f>IFERROR(VLOOKUP(B1500,PatData!$A$2:$A$2000,1,),"")&lt;&gt;""</f>
        <v>1</v>
      </c>
      <c r="E1500" t="b">
        <v>0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35">
      <c r="A1501" t="s">
        <v>2913</v>
      </c>
      <c r="B1501" t="s">
        <v>4914</v>
      </c>
      <c r="D1501" t="b">
        <f>IFERROR(VLOOKUP(B1501,PatData!$A$2:$A$2000,1,),"")&lt;&gt;""</f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35">
      <c r="A1502" t="s">
        <v>2914</v>
      </c>
      <c r="B1502" t="s">
        <v>4915</v>
      </c>
      <c r="D1502" t="b">
        <f>IFERROR(VLOOKUP(B1502,PatData!$A$2:$A$2000,1,),"")&lt;&gt;""</f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35">
      <c r="A1503" t="s">
        <v>2915</v>
      </c>
      <c r="B1503" t="s">
        <v>4916</v>
      </c>
      <c r="D1503" t="b">
        <f>IFERROR(VLOOKUP(B1503,PatData!$A$2:$A$2000,1,),"")&lt;&gt;""</f>
        <v>1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35">
      <c r="A1504" t="s">
        <v>2925</v>
      </c>
      <c r="B1504" t="s">
        <v>4917</v>
      </c>
      <c r="D1504" t="b">
        <f>IFERROR(VLOOKUP(B1504,PatData!$A$2:$A$2000,1,),"")&lt;&gt;""</f>
        <v>1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35">
      <c r="A1505" t="s">
        <v>2953</v>
      </c>
      <c r="B1505" t="s">
        <v>4918</v>
      </c>
      <c r="D1505" t="b">
        <f>IFERROR(VLOOKUP(B1505,PatData!$A$2:$A$2000,1,),"")&lt;&gt;""</f>
        <v>1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35">
      <c r="A1506" t="s">
        <v>2986</v>
      </c>
      <c r="B1506" t="s">
        <v>4919</v>
      </c>
      <c r="D1506" t="b">
        <f>IFERROR(VLOOKUP(B1506,PatData!$A$2:$A$2000,1,),"")&lt;&gt;""</f>
        <v>1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35">
      <c r="A1507" t="s">
        <v>2987</v>
      </c>
      <c r="B1507" t="s">
        <v>4920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35">
      <c r="A1508" t="s">
        <v>2988</v>
      </c>
      <c r="B1508" t="s">
        <v>4921</v>
      </c>
      <c r="D1508" t="b">
        <f>IFERROR(VLOOKUP(B1508,PatData!$A$2:$A$2000,1,),"")&lt;&gt;""</f>
        <v>1</v>
      </c>
      <c r="E1508"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35">
      <c r="A1509" t="s">
        <v>2990</v>
      </c>
      <c r="B1509" t="s">
        <v>4922</v>
      </c>
      <c r="D1509" t="b">
        <f>IFERROR(VLOOKUP(B1509,PatData!$A$2:$A$2000,1,),"")&lt;&gt;""</f>
        <v>1</v>
      </c>
      <c r="E1509"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35">
      <c r="A1510" t="s">
        <v>2992</v>
      </c>
      <c r="B1510" t="s">
        <v>4923</v>
      </c>
      <c r="D1510" t="b">
        <f>IFERROR(VLOOKUP(B1510,PatData!$A$2:$A$2000,1,),"")&lt;&gt;""</f>
        <v>1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35">
      <c r="A1511" t="s">
        <v>2991</v>
      </c>
      <c r="B1511" t="s">
        <v>4924</v>
      </c>
      <c r="D1511" t="b">
        <f>IFERROR(VLOOKUP(B1511,PatData!$A$2:$A$2000,1,),"")&lt;&gt;""</f>
        <v>1</v>
      </c>
      <c r="E1511"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35">
      <c r="A1512" t="s">
        <v>2989</v>
      </c>
      <c r="B1512" t="s">
        <v>4925</v>
      </c>
      <c r="D1512" t="b">
        <f>IFERROR(VLOOKUP(B1512,PatData!$A$2:$A$2000,1,),"")&lt;&gt;""</f>
        <v>1</v>
      </c>
      <c r="E1512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35">
      <c r="A1513" t="s">
        <v>3036</v>
      </c>
      <c r="B1513" t="s">
        <v>4926</v>
      </c>
      <c r="D1513" t="b">
        <f>IFERROR(VLOOKUP(B1513,PatData!$A$2:$A$2000,1,),"")&lt;&gt;""</f>
        <v>1</v>
      </c>
      <c r="E1513" t="b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35">
      <c r="A1514" t="s">
        <v>3037</v>
      </c>
      <c r="B1514" t="s">
        <v>4927</v>
      </c>
      <c r="D1514" t="b">
        <f>IFERROR(VLOOKUP(B1514,PatData!$A$2:$A$2000,1,),"")&lt;&gt;""</f>
        <v>1</v>
      </c>
      <c r="E1514"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35">
      <c r="A1515" t="s">
        <v>3035</v>
      </c>
      <c r="B1515" t="s">
        <v>4928</v>
      </c>
      <c r="D1515" t="b">
        <f>IFERROR(VLOOKUP(B1515,PatData!$A$2:$A$2000,1,),"")&lt;&gt;""</f>
        <v>1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35">
      <c r="A1516" t="e">
        <v>#NAME?</v>
      </c>
      <c r="B1516" t="s">
        <v>1236</v>
      </c>
      <c r="D1516" t="b">
        <f>IFERROR(VLOOKUP(B1516,PatData!$A$2:$A$2000,1,),"")&lt;&gt;""</f>
        <v>0</v>
      </c>
      <c r="F1516" t="b">
        <v>0</v>
      </c>
      <c r="G1516" t="b">
        <v>0</v>
      </c>
      <c r="H1516" t="b">
        <v>0</v>
      </c>
      <c r="I1516" t="b">
        <v>0</v>
      </c>
    </row>
    <row r="1517" spans="1:9" x14ac:dyDescent="0.35">
      <c r="A1517" t="s">
        <v>2957</v>
      </c>
      <c r="B1517" t="s">
        <v>1237</v>
      </c>
      <c r="D1517" t="b">
        <f>IFERROR(VLOOKUP(B1517,PatData!$A$2:$A$2000,1,),"")&lt;&gt;""</f>
        <v>0</v>
      </c>
      <c r="E1517" t="s">
        <v>4995</v>
      </c>
      <c r="F1517" t="b">
        <v>0</v>
      </c>
      <c r="G1517" t="b">
        <v>0</v>
      </c>
      <c r="H1517" t="b">
        <v>0</v>
      </c>
      <c r="I1517" t="b">
        <v>0</v>
      </c>
    </row>
    <row r="1518" spans="1:9" x14ac:dyDescent="0.35">
      <c r="A1518" t="s">
        <v>2958</v>
      </c>
      <c r="B1518" t="s">
        <v>1238</v>
      </c>
      <c r="D1518" t="b">
        <f>IFERROR(VLOOKUP(B1518,PatData!$A$2:$A$2000,1,),"")&lt;&gt;""</f>
        <v>0</v>
      </c>
      <c r="F1518" t="b">
        <v>0</v>
      </c>
      <c r="G1518" t="b">
        <v>0</v>
      </c>
      <c r="H1518" t="b">
        <v>0</v>
      </c>
      <c r="I1518" t="b">
        <v>0</v>
      </c>
    </row>
    <row r="1519" spans="1:9" x14ac:dyDescent="0.35">
      <c r="A1519" t="s">
        <v>2959</v>
      </c>
      <c r="B1519" t="s">
        <v>1239</v>
      </c>
      <c r="D1519" t="b">
        <f>IFERROR(VLOOKUP(B1519,PatData!$A$2:$A$2000,1,),"")&lt;&gt;""</f>
        <v>0</v>
      </c>
      <c r="F1519" t="b">
        <v>0</v>
      </c>
      <c r="G1519" t="b">
        <v>0</v>
      </c>
      <c r="H1519" t="b">
        <v>0</v>
      </c>
      <c r="I1519" t="b">
        <v>0</v>
      </c>
    </row>
    <row r="1520" spans="1:9" x14ac:dyDescent="0.35">
      <c r="A1520" t="s">
        <v>2960</v>
      </c>
      <c r="B1520" t="s">
        <v>1240</v>
      </c>
      <c r="D1520" t="b">
        <f>IFERROR(VLOOKUP(B1520,PatData!$A$2:$A$2000,1,),"")&lt;&gt;""</f>
        <v>0</v>
      </c>
      <c r="E1520" t="s">
        <v>4996</v>
      </c>
      <c r="F1520" t="b">
        <v>0</v>
      </c>
      <c r="G1520" t="b">
        <v>0</v>
      </c>
      <c r="H1520" t="b">
        <v>0</v>
      </c>
      <c r="I1520" t="b">
        <v>0</v>
      </c>
    </row>
    <row r="1521" spans="1:9" x14ac:dyDescent="0.35">
      <c r="A1521" t="s">
        <v>2961</v>
      </c>
      <c r="B1521" t="s">
        <v>1241</v>
      </c>
      <c r="D1521" t="b">
        <f>IFERROR(VLOOKUP(B1521,PatData!$A$2:$A$2000,1,),"")&lt;&gt;""</f>
        <v>0</v>
      </c>
      <c r="E1521" t="s">
        <v>566</v>
      </c>
      <c r="F1521" t="b">
        <v>0</v>
      </c>
      <c r="G1521" t="b">
        <v>0</v>
      </c>
      <c r="H1521" t="b">
        <v>0</v>
      </c>
      <c r="I1521" t="b">
        <v>0</v>
      </c>
    </row>
    <row r="1522" spans="1:9" x14ac:dyDescent="0.35">
      <c r="A1522" t="s">
        <v>2962</v>
      </c>
      <c r="B1522" t="s">
        <v>1242</v>
      </c>
      <c r="D1522" t="b">
        <f>IFERROR(VLOOKUP(B1522,PatData!$A$2:$A$2000,1,),"")&lt;&gt;""</f>
        <v>0</v>
      </c>
      <c r="E1522" t="s">
        <v>4995</v>
      </c>
      <c r="F1522" t="b">
        <v>0</v>
      </c>
      <c r="G1522" t="b">
        <v>0</v>
      </c>
      <c r="H1522" t="b">
        <v>0</v>
      </c>
      <c r="I1522" t="b">
        <v>0</v>
      </c>
    </row>
    <row r="1523" spans="1:9" x14ac:dyDescent="0.35">
      <c r="A1523" t="s">
        <v>2963</v>
      </c>
      <c r="B1523" t="s">
        <v>1243</v>
      </c>
      <c r="D1523" t="b">
        <f>IFERROR(VLOOKUP(B1523,PatData!$A$2:$A$2000,1,),"")&lt;&gt;""</f>
        <v>0</v>
      </c>
      <c r="F1523" t="b">
        <v>0</v>
      </c>
      <c r="G1523" t="b">
        <v>0</v>
      </c>
      <c r="H1523" t="b">
        <v>0</v>
      </c>
      <c r="I1523" t="b">
        <v>0</v>
      </c>
    </row>
    <row r="1524" spans="1:9" x14ac:dyDescent="0.35">
      <c r="A1524" t="s">
        <v>2964</v>
      </c>
      <c r="B1524" t="s">
        <v>1244</v>
      </c>
      <c r="D1524" t="b">
        <f>IFERROR(VLOOKUP(B1524,PatData!$A$2:$A$2000,1,),"")&lt;&gt;""</f>
        <v>0</v>
      </c>
      <c r="E1524" t="s">
        <v>4996</v>
      </c>
      <c r="F1524" t="b">
        <v>0</v>
      </c>
      <c r="G1524" t="b">
        <v>0</v>
      </c>
      <c r="H1524" t="b">
        <v>0</v>
      </c>
      <c r="I1524" t="b">
        <v>0</v>
      </c>
    </row>
    <row r="1525" spans="1:9" x14ac:dyDescent="0.35">
      <c r="A1525" t="s">
        <v>2965</v>
      </c>
      <c r="B1525" t="s">
        <v>1245</v>
      </c>
      <c r="D1525" t="b">
        <f>IFERROR(VLOOKUP(B1525,PatData!$A$2:$A$2000,1,),"")&lt;&gt;""</f>
        <v>0</v>
      </c>
      <c r="E1525" t="s">
        <v>275</v>
      </c>
      <c r="F1525" t="b">
        <v>0</v>
      </c>
      <c r="G1525" t="b">
        <v>0</v>
      </c>
      <c r="H1525" t="b">
        <v>0</v>
      </c>
      <c r="I1525" t="b">
        <v>0</v>
      </c>
    </row>
    <row r="1526" spans="1:9" x14ac:dyDescent="0.35">
      <c r="A1526" t="s">
        <v>2966</v>
      </c>
      <c r="B1526" t="s">
        <v>1246</v>
      </c>
      <c r="D1526" t="b">
        <f>IFERROR(VLOOKUP(B1526,PatData!$A$2:$A$2000,1,),"")&lt;&gt;""</f>
        <v>0</v>
      </c>
      <c r="E1526" t="s">
        <v>275</v>
      </c>
      <c r="F1526" t="b">
        <v>0</v>
      </c>
      <c r="G1526" t="b">
        <v>0</v>
      </c>
      <c r="H1526" t="b">
        <v>0</v>
      </c>
      <c r="I1526" t="b">
        <v>0</v>
      </c>
    </row>
    <row r="1527" spans="1:9" x14ac:dyDescent="0.35">
      <c r="A1527" t="s">
        <v>2967</v>
      </c>
      <c r="B1527" t="s">
        <v>1247</v>
      </c>
      <c r="D1527" t="b">
        <f>IFERROR(VLOOKUP(B1527,PatData!$A$2:$A$2000,1,),"")&lt;&gt;""</f>
        <v>0</v>
      </c>
      <c r="E1527" t="s">
        <v>275</v>
      </c>
      <c r="F1527" t="b">
        <v>0</v>
      </c>
      <c r="G1527" t="b">
        <v>0</v>
      </c>
      <c r="H1527" t="b">
        <v>0</v>
      </c>
      <c r="I1527" t="b">
        <v>0</v>
      </c>
    </row>
    <row r="1528" spans="1:9" x14ac:dyDescent="0.35">
      <c r="A1528" t="s">
        <v>2968</v>
      </c>
      <c r="B1528" t="s">
        <v>1248</v>
      </c>
      <c r="D1528" t="b">
        <f>IFERROR(VLOOKUP(B1528,PatData!$A$2:$A$2000,1,),"")&lt;&gt;""</f>
        <v>0</v>
      </c>
      <c r="E1528" t="s">
        <v>275</v>
      </c>
      <c r="F1528" t="b">
        <v>0</v>
      </c>
      <c r="G1528" t="b">
        <v>0</v>
      </c>
      <c r="H1528" t="b">
        <v>0</v>
      </c>
      <c r="I1528" t="b">
        <v>0</v>
      </c>
    </row>
    <row r="1529" spans="1:9" x14ac:dyDescent="0.35">
      <c r="A1529" t="s">
        <v>2969</v>
      </c>
      <c r="B1529" t="s">
        <v>1249</v>
      </c>
      <c r="D1529" t="b">
        <f>IFERROR(VLOOKUP(B1529,PatData!$A$2:$A$2000,1,),"")&lt;&gt;""</f>
        <v>0</v>
      </c>
      <c r="E1529" t="s">
        <v>275</v>
      </c>
      <c r="F1529" t="b">
        <v>0</v>
      </c>
      <c r="G1529" t="b">
        <v>0</v>
      </c>
      <c r="H1529" t="b">
        <v>0</v>
      </c>
      <c r="I1529" t="b">
        <v>0</v>
      </c>
    </row>
    <row r="1530" spans="1:9" x14ac:dyDescent="0.35">
      <c r="A1530" t="s">
        <v>2970</v>
      </c>
      <c r="B1530" t="s">
        <v>1250</v>
      </c>
      <c r="D1530" t="b">
        <f>IFERROR(VLOOKUP(B1530,PatData!$A$2:$A$2000,1,),"")&lt;&gt;""</f>
        <v>0</v>
      </c>
      <c r="F1530" t="b">
        <v>0</v>
      </c>
      <c r="G1530" t="b">
        <v>0</v>
      </c>
      <c r="H1530" t="b">
        <v>0</v>
      </c>
      <c r="I1530" t="b">
        <v>0</v>
      </c>
    </row>
    <row r="1531" spans="1:9" x14ac:dyDescent="0.35">
      <c r="A1531" t="s">
        <v>2971</v>
      </c>
      <c r="B1531" t="s">
        <v>1251</v>
      </c>
      <c r="D1531" t="b">
        <f>IFERROR(VLOOKUP(B1531,PatData!$A$2:$A$2000,1,),"")&lt;&gt;""</f>
        <v>0</v>
      </c>
      <c r="F1531" t="b">
        <v>0</v>
      </c>
      <c r="G1531" t="b">
        <v>0</v>
      </c>
      <c r="H1531" t="b">
        <v>0</v>
      </c>
      <c r="I1531" t="b">
        <v>0</v>
      </c>
    </row>
    <row r="1532" spans="1:9" x14ac:dyDescent="0.35">
      <c r="A1532" t="s">
        <v>2972</v>
      </c>
      <c r="B1532" t="s">
        <v>1252</v>
      </c>
      <c r="D1532" t="b">
        <f>IFERROR(VLOOKUP(B1532,PatData!$A$2:$A$2000,1,),"")&lt;&gt;""</f>
        <v>0</v>
      </c>
      <c r="F1532" t="b">
        <v>0</v>
      </c>
      <c r="G1532" t="b">
        <v>0</v>
      </c>
      <c r="H1532" t="b">
        <v>0</v>
      </c>
      <c r="I1532" t="b">
        <v>0</v>
      </c>
    </row>
    <row r="1533" spans="1:9" x14ac:dyDescent="0.35">
      <c r="A1533" t="s">
        <v>2973</v>
      </c>
      <c r="B1533" t="s">
        <v>1253</v>
      </c>
      <c r="D1533" t="b">
        <f>IFERROR(VLOOKUP(B1533,PatData!$A$2:$A$2000,1,),"")&lt;&gt;""</f>
        <v>0</v>
      </c>
      <c r="F1533" t="b">
        <v>0</v>
      </c>
      <c r="G1533" t="b">
        <v>0</v>
      </c>
      <c r="H1533" t="b">
        <v>0</v>
      </c>
      <c r="I1533" t="b">
        <v>0</v>
      </c>
    </row>
    <row r="1534" spans="1:9" x14ac:dyDescent="0.35">
      <c r="A1534" t="s">
        <v>2974</v>
      </c>
      <c r="B1534" t="s">
        <v>1254</v>
      </c>
      <c r="D1534" t="b">
        <f>IFERROR(VLOOKUP(B1534,PatData!$A$2:$A$2000,1,),"")&lt;&gt;""</f>
        <v>0</v>
      </c>
      <c r="F1534" t="b">
        <v>0</v>
      </c>
      <c r="G1534" t="b">
        <v>0</v>
      </c>
      <c r="H1534" t="b">
        <v>0</v>
      </c>
      <c r="I1534" t="b">
        <v>0</v>
      </c>
    </row>
    <row r="1535" spans="1:9" x14ac:dyDescent="0.35">
      <c r="A1535" t="s">
        <v>2975</v>
      </c>
      <c r="B1535" t="s">
        <v>1255</v>
      </c>
      <c r="D1535" t="b">
        <f>IFERROR(VLOOKUP(B1535,PatData!$A$2:$A$2000,1,),"")&lt;&gt;""</f>
        <v>0</v>
      </c>
      <c r="F1535" t="b">
        <v>0</v>
      </c>
      <c r="G1535" t="b">
        <v>0</v>
      </c>
      <c r="H1535" t="b">
        <v>0</v>
      </c>
      <c r="I1535" t="b">
        <v>0</v>
      </c>
    </row>
    <row r="1536" spans="1:9" x14ac:dyDescent="0.35">
      <c r="A1536" t="s">
        <v>2978</v>
      </c>
      <c r="B1536" t="s">
        <v>1256</v>
      </c>
      <c r="D1536" t="b">
        <f>IFERROR(VLOOKUP(B1536,PatData!$A$2:$A$2000,1,),"")&lt;&gt;""</f>
        <v>0</v>
      </c>
      <c r="E1536" t="s">
        <v>1215</v>
      </c>
      <c r="F1536" t="b">
        <v>0</v>
      </c>
      <c r="G1536" t="b">
        <v>0</v>
      </c>
      <c r="H1536" t="b">
        <v>0</v>
      </c>
      <c r="I1536" t="b">
        <v>0</v>
      </c>
    </row>
    <row r="1537" spans="1:9" x14ac:dyDescent="0.35">
      <c r="A1537" t="s">
        <v>2979</v>
      </c>
      <c r="B1537" t="s">
        <v>1257</v>
      </c>
      <c r="D1537" t="b">
        <f>IFERROR(VLOOKUP(B1537,PatData!$A$2:$A$2000,1,),"")&lt;&gt;""</f>
        <v>0</v>
      </c>
      <c r="E1537" t="s">
        <v>1209</v>
      </c>
      <c r="F1537" t="b">
        <v>0</v>
      </c>
      <c r="G1537" t="b">
        <v>0</v>
      </c>
      <c r="H1537" t="b">
        <v>0</v>
      </c>
      <c r="I1537" t="b">
        <v>0</v>
      </c>
    </row>
    <row r="1538" spans="1:9" x14ac:dyDescent="0.35">
      <c r="A1538" t="s">
        <v>2980</v>
      </c>
      <c r="B1538" t="s">
        <v>1258</v>
      </c>
      <c r="D1538" t="b">
        <f>IFERROR(VLOOKUP(B1538,PatData!$A$2:$A$2000,1,),"")&lt;&gt;""</f>
        <v>0</v>
      </c>
      <c r="E1538" t="b">
        <v>1</v>
      </c>
      <c r="F1538" t="b">
        <v>0</v>
      </c>
      <c r="G1538" t="b">
        <v>0</v>
      </c>
      <c r="H1538" t="b">
        <v>0</v>
      </c>
      <c r="I1538" t="b">
        <v>0</v>
      </c>
    </row>
    <row r="1539" spans="1:9" x14ac:dyDescent="0.35">
      <c r="A1539" t="s">
        <v>2981</v>
      </c>
      <c r="B1539" t="s">
        <v>1259</v>
      </c>
      <c r="D1539" t="b">
        <f>IFERROR(VLOOKUP(B1539,PatData!$A$2:$A$2000,1,),"")&lt;&gt;""</f>
        <v>0</v>
      </c>
      <c r="E1539" t="s">
        <v>1213</v>
      </c>
      <c r="F1539" t="b">
        <v>0</v>
      </c>
      <c r="G1539" t="b">
        <v>0</v>
      </c>
      <c r="H1539" t="b">
        <v>0</v>
      </c>
      <c r="I1539" t="b">
        <v>0</v>
      </c>
    </row>
    <row r="1540" spans="1:9" x14ac:dyDescent="0.35">
      <c r="A1540" t="s">
        <v>2982</v>
      </c>
      <c r="B1540" t="s">
        <v>1260</v>
      </c>
      <c r="D1540" t="b">
        <f>IFERROR(VLOOKUP(B1540,PatData!$A$2:$A$2000,1,),"")&lt;&gt;""</f>
        <v>0</v>
      </c>
      <c r="E1540" t="b">
        <v>1</v>
      </c>
      <c r="F1540" t="b">
        <v>0</v>
      </c>
      <c r="G1540" t="b">
        <v>0</v>
      </c>
      <c r="H1540" t="b">
        <v>0</v>
      </c>
      <c r="I1540" t="b">
        <v>0</v>
      </c>
    </row>
    <row r="1541" spans="1:9" x14ac:dyDescent="0.35">
      <c r="A1541" t="s">
        <v>2983</v>
      </c>
      <c r="B1541" t="s">
        <v>1261</v>
      </c>
      <c r="D1541" t="b">
        <f>IFERROR(VLOOKUP(B1541,PatData!$A$2:$A$2000,1,),"")&lt;&gt;""</f>
        <v>0</v>
      </c>
      <c r="E1541" t="s">
        <v>1206</v>
      </c>
      <c r="F1541" t="b">
        <v>0</v>
      </c>
      <c r="G1541" t="b">
        <v>0</v>
      </c>
      <c r="H1541" t="b">
        <v>0</v>
      </c>
      <c r="I1541" t="b">
        <v>0</v>
      </c>
    </row>
    <row r="1542" spans="1:9" x14ac:dyDescent="0.35">
      <c r="A1542" t="s">
        <v>2984</v>
      </c>
      <c r="B1542" t="s">
        <v>1262</v>
      </c>
      <c r="D1542" t="b">
        <f>IFERROR(VLOOKUP(B1542,PatData!$A$2:$A$2000,1,),"")&lt;&gt;""</f>
        <v>0</v>
      </c>
      <c r="E1542" t="s">
        <v>1207</v>
      </c>
      <c r="F1542" t="b">
        <v>0</v>
      </c>
      <c r="G1542" t="b">
        <v>0</v>
      </c>
      <c r="H1542" t="b">
        <v>0</v>
      </c>
      <c r="I1542" t="b">
        <v>0</v>
      </c>
    </row>
    <row r="1543" spans="1:9" x14ac:dyDescent="0.35">
      <c r="A1543" t="s">
        <v>2985</v>
      </c>
      <c r="B1543" t="s">
        <v>1263</v>
      </c>
      <c r="D1543" t="b">
        <f>IFERROR(VLOOKUP(B1543,PatData!$A$2:$A$2000,1,),"")&lt;&gt;""</f>
        <v>0</v>
      </c>
      <c r="E1543" t="s">
        <v>1211</v>
      </c>
      <c r="F1543" t="b">
        <v>0</v>
      </c>
      <c r="G1543" t="b">
        <v>0</v>
      </c>
      <c r="H1543" t="b">
        <v>0</v>
      </c>
      <c r="I1543" t="b">
        <v>0</v>
      </c>
    </row>
    <row r="1544" spans="1:9" x14ac:dyDescent="0.35">
      <c r="A1544" t="s">
        <v>4991</v>
      </c>
      <c r="B1544" t="s">
        <v>3290</v>
      </c>
      <c r="D1544" t="b">
        <f>IFERROR(VLOOKUP(B1544,PatData!$A$2:$A$2000,1,),"")&lt;&gt;""</f>
        <v>0</v>
      </c>
      <c r="E1544" t="s">
        <v>172</v>
      </c>
      <c r="F1544" t="b">
        <v>0</v>
      </c>
      <c r="G1544" t="b">
        <v>0</v>
      </c>
      <c r="H1544" t="b">
        <v>0</v>
      </c>
      <c r="I1544" t="b">
        <v>0</v>
      </c>
    </row>
    <row r="1545" spans="1:9" x14ac:dyDescent="0.35">
      <c r="A1545" t="s">
        <v>2608</v>
      </c>
      <c r="B1545" t="s">
        <v>3291</v>
      </c>
      <c r="D1545" t="b">
        <f>IFERROR(VLOOKUP(B1545,PatData!$A$2:$A$2000,1,),"")&lt;&gt;""</f>
        <v>0</v>
      </c>
      <c r="F1545" t="b">
        <v>0</v>
      </c>
      <c r="G1545" t="b">
        <v>0</v>
      </c>
      <c r="H1545" t="b">
        <v>0</v>
      </c>
      <c r="I1545" t="b">
        <v>0</v>
      </c>
    </row>
    <row r="1546" spans="1:9" x14ac:dyDescent="0.35">
      <c r="A1546" t="s">
        <v>2609</v>
      </c>
      <c r="B1546" t="s">
        <v>3292</v>
      </c>
      <c r="D1546" t="b">
        <f>IFERROR(VLOOKUP(B1546,PatData!$A$2:$A$2000,1,),"")&lt;&gt;""</f>
        <v>0</v>
      </c>
      <c r="F1546" t="b">
        <v>0</v>
      </c>
      <c r="G1546" t="b">
        <v>0</v>
      </c>
      <c r="H1546" t="b">
        <v>0</v>
      </c>
      <c r="I1546" t="b">
        <v>0</v>
      </c>
    </row>
    <row r="1547" spans="1:9" x14ac:dyDescent="0.35">
      <c r="A1547" t="s">
        <v>2905</v>
      </c>
      <c r="B1547" t="s">
        <v>3415</v>
      </c>
      <c r="D1547" t="b">
        <f>IFERROR(VLOOKUP(B1547,PatData!$A$2:$A$2000,1,),"")&lt;&gt;""</f>
        <v>0</v>
      </c>
      <c r="E1547" t="s">
        <v>618</v>
      </c>
      <c r="F1547" t="b">
        <v>0</v>
      </c>
      <c r="G1547" t="b">
        <v>0</v>
      </c>
      <c r="H1547" t="b">
        <v>0</v>
      </c>
      <c r="I1547" t="b">
        <v>0</v>
      </c>
    </row>
    <row r="1548" spans="1:9" x14ac:dyDescent="0.35">
      <c r="A1548" t="s">
        <v>2899</v>
      </c>
      <c r="B1548" t="s">
        <v>3409</v>
      </c>
      <c r="D1548" t="b">
        <f>IFERROR(VLOOKUP(B1548,PatData!$A$2:$A$2000,1,),"")&lt;&gt;""</f>
        <v>0</v>
      </c>
      <c r="F1548" t="b">
        <v>0</v>
      </c>
      <c r="G1548" t="b">
        <v>0</v>
      </c>
      <c r="H1548" t="b">
        <v>0</v>
      </c>
      <c r="I1548" t="b">
        <v>0</v>
      </c>
    </row>
    <row r="1549" spans="1:9" x14ac:dyDescent="0.35">
      <c r="A1549" t="s">
        <v>2900</v>
      </c>
      <c r="B1549" t="s">
        <v>3410</v>
      </c>
      <c r="D1549" t="b">
        <f>IFERROR(VLOOKUP(B1549,PatData!$A$2:$A$2000,1,),"")&lt;&gt;""</f>
        <v>0</v>
      </c>
      <c r="F1549" t="b">
        <v>0</v>
      </c>
      <c r="G1549" t="b">
        <v>0</v>
      </c>
      <c r="H1549" t="b">
        <v>0</v>
      </c>
      <c r="I1549" t="b">
        <v>0</v>
      </c>
    </row>
    <row r="1550" spans="1:9" x14ac:dyDescent="0.35">
      <c r="A1550" t="s">
        <v>2901</v>
      </c>
      <c r="B1550" t="s">
        <v>3411</v>
      </c>
      <c r="D1550" t="b">
        <f>IFERROR(VLOOKUP(B1550,PatData!$A$2:$A$2000,1,),"")&lt;&gt;""</f>
        <v>0</v>
      </c>
      <c r="F1550" t="b">
        <v>0</v>
      </c>
      <c r="G1550" t="b">
        <v>0</v>
      </c>
      <c r="H1550" t="b">
        <v>0</v>
      </c>
      <c r="I1550" t="b">
        <v>0</v>
      </c>
    </row>
    <row r="1551" spans="1:9" x14ac:dyDescent="0.35">
      <c r="A1551" t="s">
        <v>2909</v>
      </c>
      <c r="B1551" t="s">
        <v>4929</v>
      </c>
      <c r="D1551" t="b">
        <f>IFERROR(VLOOKUP(B1551,PatData!$A$2:$A$2000,1,),"")&lt;&gt;""</f>
        <v>0</v>
      </c>
      <c r="F1551" t="b">
        <v>0</v>
      </c>
      <c r="G1551" t="b">
        <v>0</v>
      </c>
      <c r="H1551" t="b">
        <v>0</v>
      </c>
      <c r="I1551" t="b">
        <v>0</v>
      </c>
    </row>
    <row r="1552" spans="1:9" x14ac:dyDescent="0.35">
      <c r="A1552" t="s">
        <v>2337</v>
      </c>
      <c r="B1552" t="s">
        <v>3277</v>
      </c>
      <c r="D1552" t="b">
        <f>IFERROR(VLOOKUP(B1552,PatData!$A$2:$A$2000,1,),"")&lt;&gt;""</f>
        <v>0</v>
      </c>
      <c r="F1552" t="b">
        <v>0</v>
      </c>
      <c r="G1552" t="b">
        <v>0</v>
      </c>
      <c r="H1552" t="b">
        <v>0</v>
      </c>
      <c r="I1552" t="b">
        <v>0</v>
      </c>
    </row>
    <row r="1553" spans="1:9" x14ac:dyDescent="0.35">
      <c r="A1553" t="s">
        <v>2336</v>
      </c>
      <c r="B1553" t="s">
        <v>3278</v>
      </c>
      <c r="D1553" t="b">
        <f>IFERROR(VLOOKUP(B1553,PatData!$A$2:$A$2000,1,),"")&lt;&gt;""</f>
        <v>0</v>
      </c>
      <c r="F1553" t="b">
        <v>0</v>
      </c>
      <c r="G1553" t="b">
        <v>0</v>
      </c>
      <c r="H1553" t="b">
        <v>0</v>
      </c>
      <c r="I1553" t="b">
        <v>0</v>
      </c>
    </row>
    <row r="1554" spans="1:9" x14ac:dyDescent="0.35">
      <c r="A1554" t="s">
        <v>2338</v>
      </c>
      <c r="B1554" t="s">
        <v>3275</v>
      </c>
      <c r="D1554" t="b">
        <f>IFERROR(VLOOKUP(B1554,PatData!$A$2:$A$2000,1,),"")&lt;&gt;""</f>
        <v>0</v>
      </c>
      <c r="F1554" t="b">
        <v>0</v>
      </c>
      <c r="G1554" t="b">
        <v>0</v>
      </c>
      <c r="H1554" t="b">
        <v>0</v>
      </c>
      <c r="I1554" t="b">
        <v>0</v>
      </c>
    </row>
    <row r="1555" spans="1:9" x14ac:dyDescent="0.35">
      <c r="A1555" t="s">
        <v>2339</v>
      </c>
      <c r="B1555" t="s">
        <v>3276</v>
      </c>
      <c r="D1555" t="b">
        <f>IFERROR(VLOOKUP(B1555,PatData!$A$2:$A$2000,1,),"")&lt;&gt;""</f>
        <v>0</v>
      </c>
      <c r="F1555" t="b">
        <v>0</v>
      </c>
      <c r="G1555" t="b">
        <v>0</v>
      </c>
      <c r="H1555" t="b">
        <v>0</v>
      </c>
      <c r="I1555" t="b">
        <v>0</v>
      </c>
    </row>
    <row r="1556" spans="1:9" x14ac:dyDescent="0.35">
      <c r="A1556" t="s">
        <v>2340</v>
      </c>
      <c r="B1556" t="s">
        <v>3279</v>
      </c>
      <c r="D1556" t="b">
        <f>IFERROR(VLOOKUP(B1556,PatData!$A$2:$A$2000,1,),"")&lt;&gt;""</f>
        <v>0</v>
      </c>
      <c r="F1556" t="b">
        <v>0</v>
      </c>
      <c r="G1556" t="b">
        <v>0</v>
      </c>
      <c r="H1556" t="b">
        <v>0</v>
      </c>
      <c r="I1556" t="b">
        <v>0</v>
      </c>
    </row>
    <row r="1557" spans="1:9" x14ac:dyDescent="0.35">
      <c r="A1557" t="s">
        <v>2916</v>
      </c>
      <c r="B1557" t="s">
        <v>3293</v>
      </c>
      <c r="D1557" t="b">
        <f>IFERROR(VLOOKUP(B1557,PatData!$A$2:$A$2000,1,),"")&lt;&gt;""</f>
        <v>0</v>
      </c>
      <c r="F1557" t="b">
        <v>0</v>
      </c>
      <c r="G1557" t="b">
        <v>0</v>
      </c>
      <c r="H1557" t="b">
        <v>0</v>
      </c>
      <c r="I1557" t="b">
        <v>0</v>
      </c>
    </row>
    <row r="1558" spans="1:9" x14ac:dyDescent="0.35">
      <c r="A1558" t="s">
        <v>2902</v>
      </c>
      <c r="B1558" t="s">
        <v>3412</v>
      </c>
      <c r="D1558" t="b">
        <f>IFERROR(VLOOKUP(B1558,PatData!$A$2:$A$2000,1,),"")&lt;&gt;""</f>
        <v>0</v>
      </c>
      <c r="E1558" t="s">
        <v>968</v>
      </c>
      <c r="F1558" t="b">
        <v>0</v>
      </c>
      <c r="G1558" t="b">
        <v>0</v>
      </c>
      <c r="H1558" t="b">
        <v>0</v>
      </c>
      <c r="I1558" t="b">
        <v>0</v>
      </c>
    </row>
    <row r="1559" spans="1:9" x14ac:dyDescent="0.35">
      <c r="A1559" t="s">
        <v>2903</v>
      </c>
      <c r="B1559" t="s">
        <v>3413</v>
      </c>
      <c r="D1559" t="b">
        <f>IFERROR(VLOOKUP(B1559,PatData!$A$2:$A$2000,1,),"")&lt;&gt;""</f>
        <v>0</v>
      </c>
      <c r="E1559" t="s">
        <v>967</v>
      </c>
      <c r="F1559" t="b">
        <v>0</v>
      </c>
      <c r="G1559" t="b">
        <v>0</v>
      </c>
      <c r="H1559" t="b">
        <v>0</v>
      </c>
      <c r="I1559" t="b">
        <v>0</v>
      </c>
    </row>
    <row r="1560" spans="1:9" x14ac:dyDescent="0.35">
      <c r="A1560" t="s">
        <v>2904</v>
      </c>
      <c r="B1560" t="s">
        <v>3414</v>
      </c>
      <c r="D1560" t="b">
        <f>IFERROR(VLOOKUP(B1560,PatData!$A$2:$A$2000,1,),"")&lt;&gt;""</f>
        <v>0</v>
      </c>
      <c r="E1560" t="s">
        <v>307</v>
      </c>
      <c r="F1560" t="b">
        <v>0</v>
      </c>
      <c r="G1560" t="b">
        <v>0</v>
      </c>
      <c r="H1560" t="b">
        <v>0</v>
      </c>
      <c r="I1560" t="b">
        <v>0</v>
      </c>
    </row>
    <row r="1561" spans="1:9" x14ac:dyDescent="0.35">
      <c r="A1561" t="s">
        <v>2956</v>
      </c>
      <c r="B1561" t="s">
        <v>3296</v>
      </c>
      <c r="D1561" t="b">
        <f>IFERROR(VLOOKUP(B1561,PatData!$A$2:$A$2000,1,),"")&lt;&gt;""</f>
        <v>0</v>
      </c>
      <c r="F1561" t="b">
        <v>0</v>
      </c>
      <c r="G1561" t="b">
        <v>0</v>
      </c>
      <c r="H1561" t="b">
        <v>0</v>
      </c>
      <c r="I1561" t="b">
        <v>0</v>
      </c>
    </row>
    <row r="1562" spans="1:9" x14ac:dyDescent="0.35">
      <c r="A1562" t="s">
        <v>2906</v>
      </c>
      <c r="B1562" t="s">
        <v>3416</v>
      </c>
      <c r="D1562" t="b">
        <f>IFERROR(VLOOKUP(B1562,PatData!$A$2:$A$2000,1,),"")&lt;&gt;""</f>
        <v>0</v>
      </c>
      <c r="F1562" t="b">
        <v>0</v>
      </c>
      <c r="G1562" t="b">
        <v>0</v>
      </c>
      <c r="H1562" t="b">
        <v>0</v>
      </c>
      <c r="I1562" t="b">
        <v>0</v>
      </c>
    </row>
    <row r="1563" spans="1:9" x14ac:dyDescent="0.35">
      <c r="A1563" t="s">
        <v>2907</v>
      </c>
      <c r="B1563" t="s">
        <v>3417</v>
      </c>
      <c r="D1563" t="b">
        <f>IFERROR(VLOOKUP(B1563,PatData!$A$2:$A$2000,1,),"")&lt;&gt;""</f>
        <v>0</v>
      </c>
      <c r="F1563" t="b">
        <v>0</v>
      </c>
      <c r="G1563" t="b">
        <v>0</v>
      </c>
      <c r="H1563" t="b">
        <v>0</v>
      </c>
      <c r="I1563" t="b">
        <v>0</v>
      </c>
    </row>
    <row r="1564" spans="1:9" x14ac:dyDescent="0.35">
      <c r="A1564" t="s">
        <v>3032</v>
      </c>
      <c r="B1564" t="s">
        <v>3422</v>
      </c>
      <c r="D1564" t="b">
        <f>IFERROR(VLOOKUP(B1564,PatData!$A$2:$A$2000,1,),"")&lt;&gt;""</f>
        <v>0</v>
      </c>
      <c r="E1564" t="s">
        <v>357</v>
      </c>
      <c r="F1564" t="b">
        <v>0</v>
      </c>
      <c r="G1564" t="b">
        <v>0</v>
      </c>
      <c r="H1564" t="b">
        <v>0</v>
      </c>
      <c r="I1564" t="b">
        <v>0</v>
      </c>
    </row>
    <row r="1565" spans="1:9" x14ac:dyDescent="0.35">
      <c r="A1565" t="s">
        <v>2993</v>
      </c>
      <c r="B1565" t="s">
        <v>3298</v>
      </c>
      <c r="D1565" t="b">
        <f>IFERROR(VLOOKUP(B1565,PatData!$A$2:$A$2000,1,),"")&lt;&gt;""</f>
        <v>0</v>
      </c>
      <c r="E1565">
        <v>0</v>
      </c>
      <c r="F1565" t="b">
        <v>0</v>
      </c>
      <c r="G1565" t="b">
        <v>0</v>
      </c>
      <c r="H1565" t="b">
        <v>0</v>
      </c>
      <c r="I1565" t="b">
        <v>0</v>
      </c>
    </row>
    <row r="1566" spans="1:9" x14ac:dyDescent="0.35">
      <c r="A1566" t="s">
        <v>2410</v>
      </c>
      <c r="B1566" t="s">
        <v>3086</v>
      </c>
      <c r="D1566" t="b">
        <f>IFERROR(VLOOKUP(B1566,PatData!$A$2:$A$2000,1,),"")&lt;&gt;""</f>
        <v>0</v>
      </c>
      <c r="F1566" t="b">
        <v>0</v>
      </c>
      <c r="G1566" t="b">
        <v>0</v>
      </c>
      <c r="H1566" t="b">
        <v>0</v>
      </c>
      <c r="I1566" t="b">
        <v>0</v>
      </c>
    </row>
    <row r="1567" spans="1:9" x14ac:dyDescent="0.35">
      <c r="A1567" t="s">
        <v>2416</v>
      </c>
      <c r="B1567" t="s">
        <v>3092</v>
      </c>
      <c r="D1567" t="b">
        <f>IFERROR(VLOOKUP(B1567,PatData!$A$2:$A$2000,1,),"")&lt;&gt;""</f>
        <v>0</v>
      </c>
      <c r="F1567" t="b">
        <v>0</v>
      </c>
      <c r="G1567" t="b">
        <v>0</v>
      </c>
      <c r="H1567" t="b">
        <v>0</v>
      </c>
      <c r="I1567" t="b">
        <v>0</v>
      </c>
    </row>
    <row r="1568" spans="1:9" x14ac:dyDescent="0.35">
      <c r="A1568" t="s">
        <v>2417</v>
      </c>
      <c r="B1568" t="s">
        <v>3093</v>
      </c>
      <c r="D1568" t="b">
        <f>IFERROR(VLOOKUP(B1568,PatData!$A$2:$A$2000,1,),"")&lt;&gt;""</f>
        <v>0</v>
      </c>
      <c r="F1568" t="b">
        <v>0</v>
      </c>
      <c r="G1568" t="b">
        <v>0</v>
      </c>
      <c r="H1568" t="b">
        <v>0</v>
      </c>
      <c r="I1568" t="b">
        <v>0</v>
      </c>
    </row>
    <row r="1569" spans="1:9" x14ac:dyDescent="0.35">
      <c r="A1569" t="s">
        <v>2415</v>
      </c>
      <c r="B1569" t="s">
        <v>3091</v>
      </c>
      <c r="D1569" t="b">
        <f>IFERROR(VLOOKUP(B1569,PatData!$A$2:$A$2000,1,),"")&lt;&gt;""</f>
        <v>0</v>
      </c>
      <c r="F1569" t="b">
        <v>0</v>
      </c>
      <c r="G1569" t="b">
        <v>0</v>
      </c>
      <c r="H1569" t="b">
        <v>0</v>
      </c>
      <c r="I1569" t="b">
        <v>0</v>
      </c>
    </row>
    <row r="1570" spans="1:9" x14ac:dyDescent="0.35">
      <c r="A1570" t="s">
        <v>2420</v>
      </c>
      <c r="B1570" t="s">
        <v>3095</v>
      </c>
      <c r="D1570" t="b">
        <f>IFERROR(VLOOKUP(B1570,PatData!$A$2:$A$2000,1,),"")&lt;&gt;""</f>
        <v>0</v>
      </c>
      <c r="F1570" t="b">
        <v>0</v>
      </c>
      <c r="G1570" t="b">
        <v>0</v>
      </c>
      <c r="H1570" t="b">
        <v>0</v>
      </c>
      <c r="I1570" t="b">
        <v>0</v>
      </c>
    </row>
    <row r="1571" spans="1:9" x14ac:dyDescent="0.35">
      <c r="A1571" t="s">
        <v>2411</v>
      </c>
      <c r="B1571" t="s">
        <v>3088</v>
      </c>
      <c r="D1571" t="b">
        <f>IFERROR(VLOOKUP(B1571,PatData!$A$2:$A$2000,1,),"")&lt;&gt;""</f>
        <v>0</v>
      </c>
      <c r="F1571" t="b">
        <v>0</v>
      </c>
      <c r="G1571" t="b">
        <v>0</v>
      </c>
      <c r="H1571" t="b">
        <v>0</v>
      </c>
      <c r="I1571" t="b">
        <v>0</v>
      </c>
    </row>
    <row r="1572" spans="1:9" x14ac:dyDescent="0.35">
      <c r="A1572" t="s">
        <v>2412</v>
      </c>
      <c r="B1572" t="s">
        <v>3087</v>
      </c>
      <c r="D1572" t="b">
        <f>IFERROR(VLOOKUP(B1572,PatData!$A$2:$A$2000,1,),"")&lt;&gt;""</f>
        <v>0</v>
      </c>
      <c r="F1572" t="b">
        <v>0</v>
      </c>
      <c r="G1572" t="b">
        <v>0</v>
      </c>
      <c r="H1572" t="b">
        <v>0</v>
      </c>
      <c r="I1572" t="b">
        <v>0</v>
      </c>
    </row>
    <row r="1573" spans="1:9" x14ac:dyDescent="0.35">
      <c r="A1573" t="s">
        <v>2414</v>
      </c>
      <c r="B1573" t="s">
        <v>3090</v>
      </c>
      <c r="D1573" t="b">
        <f>IFERROR(VLOOKUP(B1573,PatData!$A$2:$A$2000,1,),"")&lt;&gt;""</f>
        <v>0</v>
      </c>
      <c r="F1573" t="b">
        <v>0</v>
      </c>
      <c r="G1573" t="b">
        <v>0</v>
      </c>
      <c r="H1573" t="b">
        <v>0</v>
      </c>
      <c r="I1573" t="b">
        <v>0</v>
      </c>
    </row>
    <row r="1574" spans="1:9" x14ac:dyDescent="0.35">
      <c r="A1574" t="s">
        <v>2954</v>
      </c>
      <c r="B1574" t="s">
        <v>3294</v>
      </c>
      <c r="D1574" t="b">
        <f>IFERROR(VLOOKUP(B1574,PatData!$A$2:$A$2000,1,),"")&lt;&gt;""</f>
        <v>0</v>
      </c>
      <c r="F1574" t="b">
        <v>0</v>
      </c>
      <c r="G1574" t="b">
        <v>0</v>
      </c>
      <c r="H1574" t="b">
        <v>0</v>
      </c>
      <c r="I1574" t="b">
        <v>0</v>
      </c>
    </row>
    <row r="1575" spans="1:9" x14ac:dyDescent="0.35">
      <c r="A1575" t="s">
        <v>2955</v>
      </c>
      <c r="B1575" t="s">
        <v>3295</v>
      </c>
      <c r="D1575" t="b">
        <f>IFERROR(VLOOKUP(B1575,PatData!$A$2:$A$2000,1,),"")&lt;&gt;""</f>
        <v>0</v>
      </c>
      <c r="E1575">
        <v>70</v>
      </c>
      <c r="F1575" t="b">
        <v>0</v>
      </c>
      <c r="G1575" t="b">
        <v>0</v>
      </c>
      <c r="H1575" t="b">
        <v>0</v>
      </c>
      <c r="I1575" t="b">
        <v>0</v>
      </c>
    </row>
    <row r="1576" spans="1:9" x14ac:dyDescent="0.35">
      <c r="A1576" t="s">
        <v>3028</v>
      </c>
      <c r="B1576" t="s">
        <v>3418</v>
      </c>
      <c r="D1576" t="b">
        <f>IFERROR(VLOOKUP(B1576,PatData!$A$2:$A$2000,1,),"")&lt;&gt;""</f>
        <v>0</v>
      </c>
      <c r="E1576" t="s">
        <v>357</v>
      </c>
      <c r="F1576" t="b">
        <v>0</v>
      </c>
      <c r="G1576" t="b">
        <v>0</v>
      </c>
      <c r="H1576" t="b">
        <v>0</v>
      </c>
      <c r="I1576" t="b">
        <v>0</v>
      </c>
    </row>
    <row r="1577" spans="1:9" x14ac:dyDescent="0.35">
      <c r="A1577" t="s">
        <v>3029</v>
      </c>
      <c r="B1577" t="s">
        <v>3419</v>
      </c>
      <c r="D1577" t="b">
        <f>IFERROR(VLOOKUP(B1577,PatData!$A$2:$A$2000,1,),"")&lt;&gt;""</f>
        <v>0</v>
      </c>
      <c r="E1577" t="s">
        <v>358</v>
      </c>
      <c r="F1577" t="b">
        <v>0</v>
      </c>
      <c r="G1577" t="b">
        <v>0</v>
      </c>
      <c r="H1577" t="b">
        <v>0</v>
      </c>
      <c r="I1577" t="b">
        <v>0</v>
      </c>
    </row>
    <row r="1578" spans="1:9" x14ac:dyDescent="0.35">
      <c r="A1578" t="s">
        <v>3030</v>
      </c>
      <c r="B1578" t="s">
        <v>3420</v>
      </c>
      <c r="D1578" t="b">
        <f>IFERROR(VLOOKUP(B1578,PatData!$A$2:$A$2000,1,),"")&lt;&gt;""</f>
        <v>0</v>
      </c>
      <c r="E1578" t="s">
        <v>42</v>
      </c>
      <c r="F1578" t="b">
        <v>0</v>
      </c>
      <c r="G1578" t="b">
        <v>0</v>
      </c>
      <c r="H1578" t="b">
        <v>0</v>
      </c>
      <c r="I1578" t="b">
        <v>0</v>
      </c>
    </row>
    <row r="1579" spans="1:9" x14ac:dyDescent="0.35">
      <c r="A1579" t="s">
        <v>3031</v>
      </c>
      <c r="B1579" t="s">
        <v>3421</v>
      </c>
      <c r="D1579" t="b">
        <f>IFERROR(VLOOKUP(B1579,PatData!$A$2:$A$2000,1,),"")&lt;&gt;""</f>
        <v>0</v>
      </c>
      <c r="E1579" t="s">
        <v>43</v>
      </c>
      <c r="F1579" t="b">
        <v>0</v>
      </c>
      <c r="G1579" t="b">
        <v>0</v>
      </c>
      <c r="H1579" t="b">
        <v>0</v>
      </c>
      <c r="I1579" t="b">
        <v>0</v>
      </c>
    </row>
    <row r="1580" spans="1:9" x14ac:dyDescent="0.35">
      <c r="A1580" t="s">
        <v>3033</v>
      </c>
      <c r="B1580" t="s">
        <v>3423</v>
      </c>
      <c r="D1580" t="b">
        <f>IFERROR(VLOOKUP(B1580,PatData!$A$2:$A$2000,1,),"")&lt;&gt;""</f>
        <v>0</v>
      </c>
      <c r="E1580" t="s">
        <v>84</v>
      </c>
      <c r="F1580" t="b">
        <v>0</v>
      </c>
      <c r="G1580" t="b">
        <v>0</v>
      </c>
      <c r="H1580" t="b">
        <v>0</v>
      </c>
      <c r="I1580" t="b">
        <v>0</v>
      </c>
    </row>
    <row r="1581" spans="1:9" x14ac:dyDescent="0.35">
      <c r="A1581" t="s">
        <v>3034</v>
      </c>
      <c r="B1581" t="s">
        <v>3424</v>
      </c>
      <c r="D1581" t="b">
        <f>IFERROR(VLOOKUP(B1581,PatData!$A$2:$A$2000,1,),"")&lt;&gt;""</f>
        <v>0</v>
      </c>
      <c r="E1581" t="s">
        <v>358</v>
      </c>
      <c r="F1581" t="b">
        <v>0</v>
      </c>
      <c r="G1581" t="b">
        <v>0</v>
      </c>
      <c r="H1581" t="b">
        <v>0</v>
      </c>
      <c r="I1581" t="b">
        <v>0</v>
      </c>
    </row>
    <row r="1582" spans="1:9" x14ac:dyDescent="0.35">
      <c r="A1582" t="s">
        <v>2419</v>
      </c>
      <c r="B1582" t="s">
        <v>3094</v>
      </c>
      <c r="D1582" t="b">
        <f>IFERROR(VLOOKUP(B1582,PatData!$A$2:$A$2000,1,),"")&lt;&gt;""</f>
        <v>0</v>
      </c>
      <c r="E1582">
        <v>1</v>
      </c>
      <c r="F1582" t="b">
        <v>0</v>
      </c>
      <c r="G1582" t="b">
        <v>0</v>
      </c>
      <c r="H1582" t="b">
        <v>0</v>
      </c>
      <c r="I1582" t="b">
        <v>0</v>
      </c>
    </row>
    <row r="1583" spans="1:9" x14ac:dyDescent="0.35">
      <c r="A1583" t="s">
        <v>3604</v>
      </c>
      <c r="B1583" t="s">
        <v>3297</v>
      </c>
      <c r="D1583" t="b">
        <f>IFERROR(VLOOKUP(B1583,PatData!$A$2:$A$2000,1,),"")&lt;&gt;""</f>
        <v>0</v>
      </c>
      <c r="E1583">
        <v>1</v>
      </c>
      <c r="F1583" t="b">
        <v>0</v>
      </c>
      <c r="G1583" t="b">
        <v>0</v>
      </c>
      <c r="H1583" t="b">
        <v>0</v>
      </c>
      <c r="I1583" t="b">
        <v>0</v>
      </c>
    </row>
    <row r="1584" spans="1:9" x14ac:dyDescent="0.35">
      <c r="A1584" t="s">
        <v>2994</v>
      </c>
      <c r="B1584" t="s">
        <v>1264</v>
      </c>
      <c r="D1584" t="b">
        <f>IFERROR(VLOOKUP(B1584,PatData!$A$2:$A$2000,1,),"")&lt;&gt;""</f>
        <v>0</v>
      </c>
      <c r="E1584">
        <v>0</v>
      </c>
      <c r="F1584" t="b">
        <v>0</v>
      </c>
      <c r="G1584" t="b">
        <v>0</v>
      </c>
      <c r="H1584" t="b">
        <v>0</v>
      </c>
      <c r="I1584" t="b">
        <v>0</v>
      </c>
    </row>
    <row r="1585" spans="1:9" x14ac:dyDescent="0.35">
      <c r="A1585" t="s">
        <v>2995</v>
      </c>
      <c r="B1585" t="s">
        <v>1088</v>
      </c>
      <c r="D1585" t="b">
        <f>IFERROR(VLOOKUP(B1585,PatData!$A$2:$A$2000,1,),"")&lt;&gt;""</f>
        <v>0</v>
      </c>
      <c r="F1585" t="b">
        <v>0</v>
      </c>
      <c r="G1585" t="b">
        <v>0</v>
      </c>
      <c r="H1585" t="b">
        <v>0</v>
      </c>
      <c r="I1585" t="b">
        <v>0</v>
      </c>
    </row>
    <row r="1586" spans="1:9" x14ac:dyDescent="0.35">
      <c r="A1586" t="s">
        <v>2996</v>
      </c>
      <c r="B1586" t="s">
        <v>1265</v>
      </c>
      <c r="D1586" t="b">
        <f>IFERROR(VLOOKUP(B1586,PatData!$A$2:$A$2000,1,),"")&lt;&gt;""</f>
        <v>0</v>
      </c>
      <c r="F1586" t="b">
        <v>0</v>
      </c>
      <c r="G1586" t="b">
        <v>0</v>
      </c>
      <c r="H1586" t="b">
        <v>0</v>
      </c>
      <c r="I1586" t="b">
        <v>0</v>
      </c>
    </row>
    <row r="1587" spans="1:9" x14ac:dyDescent="0.35">
      <c r="A1587" t="s">
        <v>2997</v>
      </c>
      <c r="B1587" t="s">
        <v>1087</v>
      </c>
      <c r="D1587" t="b">
        <f>IFERROR(VLOOKUP(B1587,PatData!$A$2:$A$2000,1,),"")&lt;&gt;""</f>
        <v>0</v>
      </c>
      <c r="F1587" t="b">
        <v>0</v>
      </c>
      <c r="G1587" t="b">
        <v>0</v>
      </c>
      <c r="H1587" t="b">
        <v>0</v>
      </c>
      <c r="I1587" t="b">
        <v>0</v>
      </c>
    </row>
    <row r="1588" spans="1:9" x14ac:dyDescent="0.35">
      <c r="A1588" t="s">
        <v>2998</v>
      </c>
      <c r="B1588" t="s">
        <v>1084</v>
      </c>
      <c r="D1588" t="b">
        <f>IFERROR(VLOOKUP(B1588,PatData!$A$2:$A$2000,1,),"")&lt;&gt;""</f>
        <v>0</v>
      </c>
      <c r="F1588" t="b">
        <v>0</v>
      </c>
      <c r="G1588" t="b">
        <v>0</v>
      </c>
      <c r="H1588" t="b">
        <v>0</v>
      </c>
      <c r="I1588" t="b">
        <v>0</v>
      </c>
    </row>
    <row r="1589" spans="1:9" x14ac:dyDescent="0.35">
      <c r="A1589" t="s">
        <v>2999</v>
      </c>
      <c r="B1589" t="s">
        <v>1086</v>
      </c>
      <c r="D1589" t="b">
        <f>IFERROR(VLOOKUP(B1589,PatData!$A$2:$A$2000,1,),"")&lt;&gt;""</f>
        <v>0</v>
      </c>
      <c r="F1589" t="b">
        <v>0</v>
      </c>
      <c r="G1589" t="b">
        <v>0</v>
      </c>
      <c r="H1589" t="b">
        <v>0</v>
      </c>
      <c r="I1589" t="b">
        <v>0</v>
      </c>
    </row>
    <row r="1590" spans="1:9" x14ac:dyDescent="0.35">
      <c r="A1590" t="s">
        <v>3000</v>
      </c>
      <c r="B1590" t="s">
        <v>1085</v>
      </c>
      <c r="D1590" t="b">
        <f>IFERROR(VLOOKUP(B1590,PatData!$A$2:$A$2000,1,),"")&lt;&gt;""</f>
        <v>0</v>
      </c>
      <c r="F1590" t="b">
        <v>0</v>
      </c>
      <c r="G1590" t="b">
        <v>0</v>
      </c>
      <c r="H1590" t="b">
        <v>0</v>
      </c>
      <c r="I1590" t="b">
        <v>0</v>
      </c>
    </row>
    <row r="1591" spans="1:9" x14ac:dyDescent="0.35">
      <c r="A1591" t="s">
        <v>3001</v>
      </c>
      <c r="B1591" t="s">
        <v>1266</v>
      </c>
      <c r="D1591" t="b">
        <f>IFERROR(VLOOKUP(B1591,PatData!$A$2:$A$2000,1,),"")&lt;&gt;""</f>
        <v>0</v>
      </c>
      <c r="F1591" t="b">
        <v>0</v>
      </c>
      <c r="G1591" t="b">
        <v>0</v>
      </c>
      <c r="H1591" t="b">
        <v>0</v>
      </c>
      <c r="I1591" t="b">
        <v>0</v>
      </c>
    </row>
    <row r="1592" spans="1:9" x14ac:dyDescent="0.35">
      <c r="A1592" t="s">
        <v>3002</v>
      </c>
      <c r="B1592" t="s">
        <v>1083</v>
      </c>
      <c r="D1592" t="b">
        <f>IFERROR(VLOOKUP(B1592,PatData!$A$2:$A$2000,1,),"")&lt;&gt;""</f>
        <v>0</v>
      </c>
      <c r="F1592" t="b">
        <v>0</v>
      </c>
      <c r="G1592" t="b">
        <v>0</v>
      </c>
      <c r="H1592" t="b">
        <v>0</v>
      </c>
      <c r="I1592" t="b">
        <v>0</v>
      </c>
    </row>
    <row r="1593" spans="1:9" x14ac:dyDescent="0.35">
      <c r="A1593" t="s">
        <v>3003</v>
      </c>
      <c r="B1593" t="s">
        <v>1267</v>
      </c>
      <c r="D1593" t="b">
        <f>IFERROR(VLOOKUP(B1593,PatData!$A$2:$A$2000,1,),"")&lt;&gt;""</f>
        <v>0</v>
      </c>
      <c r="F1593" t="b">
        <v>0</v>
      </c>
      <c r="G1593" t="b">
        <v>0</v>
      </c>
      <c r="H1593" t="b">
        <v>0</v>
      </c>
      <c r="I1593" t="b">
        <v>0</v>
      </c>
    </row>
    <row r="1594" spans="1:9" x14ac:dyDescent="0.35">
      <c r="A1594" t="s">
        <v>3004</v>
      </c>
      <c r="B1594" t="s">
        <v>1268</v>
      </c>
      <c r="D1594" t="b">
        <f>IFERROR(VLOOKUP(B1594,PatData!$A$2:$A$2000,1,),"")&lt;&gt;""</f>
        <v>0</v>
      </c>
      <c r="E1594">
        <v>2.4899999999999999E-2</v>
      </c>
      <c r="F1594" t="b">
        <v>0</v>
      </c>
      <c r="G1594" t="b">
        <v>0</v>
      </c>
      <c r="H1594" t="b">
        <v>0</v>
      </c>
      <c r="I1594" t="b">
        <v>0</v>
      </c>
    </row>
    <row r="1595" spans="1:9" x14ac:dyDescent="0.35">
      <c r="A1595" t="s">
        <v>3005</v>
      </c>
      <c r="B1595" t="s">
        <v>1269</v>
      </c>
      <c r="D1595" t="b">
        <f>IFERROR(VLOOKUP(B1595,PatData!$A$2:$A$2000,1,),"")&lt;&gt;""</f>
        <v>0</v>
      </c>
      <c r="E1595">
        <v>2.8205999999999998E-2</v>
      </c>
      <c r="F1595" t="b">
        <v>0</v>
      </c>
      <c r="G1595" t="b">
        <v>0</v>
      </c>
      <c r="H1595" t="b">
        <v>0</v>
      </c>
      <c r="I1595" t="b">
        <v>0</v>
      </c>
    </row>
    <row r="1596" spans="1:9" x14ac:dyDescent="0.35">
      <c r="A1596" t="s">
        <v>3006</v>
      </c>
      <c r="B1596" t="s">
        <v>1270</v>
      </c>
      <c r="D1596" t="b">
        <f>IFERROR(VLOOKUP(B1596,PatData!$A$2:$A$2000,1,),"")&lt;&gt;""</f>
        <v>0</v>
      </c>
      <c r="E1596">
        <v>1.7899999999999999E-2</v>
      </c>
      <c r="F1596" t="b">
        <v>0</v>
      </c>
      <c r="G1596" t="b">
        <v>0</v>
      </c>
      <c r="H1596" t="b">
        <v>0</v>
      </c>
      <c r="I1596" t="b">
        <v>0</v>
      </c>
    </row>
    <row r="1597" spans="1:9" x14ac:dyDescent="0.35">
      <c r="A1597" t="s">
        <v>3007</v>
      </c>
      <c r="B1597" t="s">
        <v>1271</v>
      </c>
      <c r="D1597" t="b">
        <f>IFERROR(VLOOKUP(B1597,PatData!$A$2:$A$2000,1,),"")&lt;&gt;""</f>
        <v>0</v>
      </c>
      <c r="E1597">
        <v>2.5641000000000001E-2</v>
      </c>
      <c r="F1597" t="b">
        <v>0</v>
      </c>
      <c r="G1597" t="b">
        <v>0</v>
      </c>
      <c r="H1597" t="b">
        <v>0</v>
      </c>
      <c r="I1597" t="b">
        <v>0</v>
      </c>
    </row>
    <row r="1598" spans="1:9" x14ac:dyDescent="0.35">
      <c r="A1598" t="s">
        <v>3008</v>
      </c>
      <c r="B1598" t="s">
        <v>1272</v>
      </c>
      <c r="D1598" t="b">
        <f>IFERROR(VLOOKUP(B1598,PatData!$A$2:$A$2000,1,),"")&lt;&gt;""</f>
        <v>0</v>
      </c>
      <c r="E1598">
        <v>4.1140999999999997E-2</v>
      </c>
      <c r="F1598" t="b">
        <v>0</v>
      </c>
      <c r="G1598" t="b">
        <v>0</v>
      </c>
      <c r="H1598" t="b">
        <v>0</v>
      </c>
      <c r="I1598" t="b">
        <v>0</v>
      </c>
    </row>
    <row r="1599" spans="1:9" x14ac:dyDescent="0.35">
      <c r="A1599" t="s">
        <v>3009</v>
      </c>
      <c r="B1599" t="s">
        <v>1273</v>
      </c>
      <c r="D1599" t="b">
        <f>IFERROR(VLOOKUP(B1599,PatData!$A$2:$A$2000,1,),"")&lt;&gt;""</f>
        <v>0</v>
      </c>
      <c r="E1599">
        <v>4.3478000000000003E-2</v>
      </c>
      <c r="F1599" t="b">
        <v>0</v>
      </c>
      <c r="G1599" t="b">
        <v>0</v>
      </c>
      <c r="H1599" t="b">
        <v>0</v>
      </c>
      <c r="I1599" t="b">
        <v>0</v>
      </c>
    </row>
    <row r="1600" spans="1:9" x14ac:dyDescent="0.35">
      <c r="A1600" t="s">
        <v>3010</v>
      </c>
      <c r="B1600" t="s">
        <v>1274</v>
      </c>
      <c r="D1600" t="b">
        <f>IFERROR(VLOOKUP(B1600,PatData!$A$2:$A$2000,1,),"")&lt;&gt;""</f>
        <v>0</v>
      </c>
      <c r="E1600">
        <v>3.2288999999999998E-2</v>
      </c>
      <c r="F1600" t="b">
        <v>0</v>
      </c>
      <c r="G1600" t="b">
        <v>0</v>
      </c>
      <c r="H1600" t="b">
        <v>0</v>
      </c>
      <c r="I1600" t="b">
        <v>0</v>
      </c>
    </row>
    <row r="1601" spans="1:9" x14ac:dyDescent="0.35">
      <c r="A1601" t="s">
        <v>3011</v>
      </c>
      <c r="B1601" t="s">
        <v>1275</v>
      </c>
      <c r="D1601" t="b">
        <f>IFERROR(VLOOKUP(B1601,PatData!$A$2:$A$2000,1,),"")&lt;&gt;""</f>
        <v>0</v>
      </c>
      <c r="E1601">
        <v>40</v>
      </c>
      <c r="F1601" t="b">
        <v>0</v>
      </c>
      <c r="G1601" t="b">
        <v>0</v>
      </c>
      <c r="H1601" t="b">
        <v>0</v>
      </c>
      <c r="I1601" t="b">
        <v>0</v>
      </c>
    </row>
    <row r="1602" spans="1:9" x14ac:dyDescent="0.35">
      <c r="A1602" t="s">
        <v>3012</v>
      </c>
      <c r="B1602" t="s">
        <v>1276</v>
      </c>
      <c r="D1602" t="b">
        <f>IFERROR(VLOOKUP(B1602,PatData!$A$2:$A$2000,1,),"")&lt;&gt;""</f>
        <v>0</v>
      </c>
      <c r="F1602" t="b">
        <v>0</v>
      </c>
      <c r="G1602" t="b">
        <v>0</v>
      </c>
      <c r="H1602" t="b">
        <v>0</v>
      </c>
      <c r="I1602" t="b">
        <v>0</v>
      </c>
    </row>
    <row r="1603" spans="1:9" x14ac:dyDescent="0.35">
      <c r="A1603" t="s">
        <v>3013</v>
      </c>
      <c r="B1603" t="s">
        <v>1277</v>
      </c>
      <c r="D1603" t="b">
        <f>IFERROR(VLOOKUP(B1603,PatData!$A$2:$A$2000,1,),"")&lt;&gt;""</f>
        <v>0</v>
      </c>
      <c r="E1603">
        <v>1</v>
      </c>
      <c r="F1603" t="b">
        <v>0</v>
      </c>
      <c r="G1603" t="b">
        <v>0</v>
      </c>
      <c r="H1603" t="b">
        <v>0</v>
      </c>
      <c r="I1603" t="b">
        <v>0</v>
      </c>
    </row>
    <row r="1604" spans="1:9" x14ac:dyDescent="0.35">
      <c r="A1604" t="s">
        <v>3014</v>
      </c>
      <c r="B1604" t="s">
        <v>1278</v>
      </c>
      <c r="D1604" t="b">
        <f>IFERROR(VLOOKUP(B1604,PatData!$A$2:$A$2000,1,),"")&lt;&gt;""</f>
        <v>0</v>
      </c>
      <c r="F1604" t="b">
        <v>0</v>
      </c>
      <c r="G1604" t="b">
        <v>0</v>
      </c>
      <c r="H1604" t="b">
        <v>0</v>
      </c>
      <c r="I1604" t="b">
        <v>0</v>
      </c>
    </row>
    <row r="1605" spans="1:9" x14ac:dyDescent="0.35">
      <c r="A1605" t="s">
        <v>3015</v>
      </c>
      <c r="B1605" t="s">
        <v>1279</v>
      </c>
      <c r="D1605" t="b">
        <f>IFERROR(VLOOKUP(B1605,PatData!$A$2:$A$2000,1,),"")&lt;&gt;""</f>
        <v>0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35">
      <c r="A1606" t="s">
        <v>3016</v>
      </c>
      <c r="B1606" t="s">
        <v>1280</v>
      </c>
      <c r="D1606" t="b">
        <f>IFERROR(VLOOKUP(B1606,PatData!$A$2:$A$2000,1,),"")&lt;&gt;""</f>
        <v>0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35">
      <c r="A1607" t="s">
        <v>3017</v>
      </c>
      <c r="B1607" t="s">
        <v>1281</v>
      </c>
      <c r="D1607" t="b">
        <f>IFERROR(VLOOKUP(B1607,PatData!$A$2:$A$2000,1,),"")&lt;&gt;""</f>
        <v>0</v>
      </c>
      <c r="F1607" t="b">
        <v>0</v>
      </c>
      <c r="G1607" t="b">
        <v>0</v>
      </c>
      <c r="H1607" t="b">
        <v>0</v>
      </c>
      <c r="I1607" t="b">
        <v>0</v>
      </c>
    </row>
    <row r="1608" spans="1:9" x14ac:dyDescent="0.35">
      <c r="A1608" t="s">
        <v>3018</v>
      </c>
      <c r="B1608" t="s">
        <v>1282</v>
      </c>
      <c r="D1608" t="b">
        <f>IFERROR(VLOOKUP(B1608,PatData!$A$2:$A$2000,1,),"")&lt;&gt;""</f>
        <v>0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35">
      <c r="A1609" t="s">
        <v>3019</v>
      </c>
      <c r="B1609" t="s">
        <v>1283</v>
      </c>
      <c r="D1609" t="b">
        <f>IFERROR(VLOOKUP(B1609,PatData!$A$2:$A$2000,1,),"")&lt;&gt;""</f>
        <v>0</v>
      </c>
      <c r="E1609" t="s">
        <v>543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35">
      <c r="A1610" t="s">
        <v>3020</v>
      </c>
      <c r="B1610" t="s">
        <v>1284</v>
      </c>
      <c r="D1610" t="b">
        <f>IFERROR(VLOOKUP(B1610,PatData!$A$2:$A$2000,1,),"")&lt;&gt;""</f>
        <v>0</v>
      </c>
      <c r="E1610" t="s">
        <v>326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35">
      <c r="A1611" t="s">
        <v>3021</v>
      </c>
      <c r="B1611" t="s">
        <v>1285</v>
      </c>
      <c r="D1611" t="b">
        <f>IFERROR(VLOOKUP(B1611,PatData!$A$2:$A$2000,1,),"")&lt;&gt;""</f>
        <v>0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35">
      <c r="A1612" t="s">
        <v>3022</v>
      </c>
      <c r="B1612" t="s">
        <v>1286</v>
      </c>
      <c r="D1612" t="b">
        <f>IFERROR(VLOOKUP(B1612,PatData!$A$2:$A$2000,1,),"")&lt;&gt;""</f>
        <v>0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35">
      <c r="A1613" t="s">
        <v>3023</v>
      </c>
      <c r="B1613" t="s">
        <v>1287</v>
      </c>
      <c r="D1613" t="b">
        <f>IFERROR(VLOOKUP(B1613,PatData!$A$2:$A$2000,1,),"")&lt;&gt;""</f>
        <v>0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35">
      <c r="A1614" t="s">
        <v>3024</v>
      </c>
      <c r="B1614" t="s">
        <v>1288</v>
      </c>
      <c r="D1614" t="b">
        <f>IFERROR(VLOOKUP(B1614,PatData!$A$2:$A$2000,1,),"")&lt;&gt;""</f>
        <v>0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35">
      <c r="A1615" t="s">
        <v>3025</v>
      </c>
      <c r="B1615" t="s">
        <v>1289</v>
      </c>
      <c r="D1615" t="b">
        <f>IFERROR(VLOOKUP(B1615,PatData!$A$2:$A$2000,1,),"")&lt;&gt;""</f>
        <v>0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35">
      <c r="A1616" t="s">
        <v>2596</v>
      </c>
      <c r="B1616" t="s">
        <v>3493</v>
      </c>
      <c r="D1616" t="b">
        <f>IFERROR(VLOOKUP(B1616,PatData!$A$2:$A$2000,1,),"")&lt;&gt;""</f>
        <v>0</v>
      </c>
      <c r="E1616" t="s">
        <v>3499</v>
      </c>
      <c r="F1616" t="b">
        <v>1</v>
      </c>
      <c r="G1616" t="b">
        <v>0</v>
      </c>
      <c r="H1616" t="b">
        <v>0</v>
      </c>
      <c r="I1616" t="b">
        <v>0</v>
      </c>
    </row>
    <row r="1617" spans="1:9" x14ac:dyDescent="0.35">
      <c r="A1617" t="s">
        <v>2597</v>
      </c>
      <c r="B1617" t="s">
        <v>3289</v>
      </c>
      <c r="D1617" t="b">
        <f>IFERROR(VLOOKUP(B1617,PatData!$A$2:$A$2000,1,),"")&lt;&gt;""</f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35">
      <c r="A1618" t="s">
        <v>2598</v>
      </c>
      <c r="B1618" t="s">
        <v>3402</v>
      </c>
      <c r="D1618" t="b">
        <f>IFERROR(VLOOKUP(B1618,PatData!$A$2:$A$2000,1,),"")&lt;&gt;""</f>
        <v>0</v>
      </c>
      <c r="E1618" t="s">
        <v>3500</v>
      </c>
      <c r="F1618" t="b">
        <v>1</v>
      </c>
      <c r="G1618" t="b">
        <v>0</v>
      </c>
      <c r="H1618" t="b">
        <v>0</v>
      </c>
      <c r="I1618" t="b">
        <v>0</v>
      </c>
    </row>
    <row r="1619" spans="1:9" x14ac:dyDescent="0.35">
      <c r="A1619" t="s">
        <v>2599</v>
      </c>
      <c r="B1619" t="s">
        <v>3403</v>
      </c>
      <c r="D1619" t="b">
        <f>IFERROR(VLOOKUP(B1619,PatData!$A$2:$A$2000,1,),"")&lt;&gt;""</f>
        <v>0</v>
      </c>
      <c r="E1619" t="s">
        <v>3501</v>
      </c>
      <c r="F1619" t="b">
        <v>1</v>
      </c>
      <c r="G1619" t="b">
        <v>0</v>
      </c>
      <c r="H1619" t="b">
        <v>0</v>
      </c>
      <c r="I1619" t="b">
        <v>0</v>
      </c>
    </row>
    <row r="1620" spans="1:9" x14ac:dyDescent="0.35">
      <c r="A1620" t="s">
        <v>2600</v>
      </c>
      <c r="B1620" t="s">
        <v>3404</v>
      </c>
      <c r="D1620" t="b">
        <f>IFERROR(VLOOKUP(B1620,PatData!$A$2:$A$2000,1,),"")&lt;&gt;""</f>
        <v>0</v>
      </c>
      <c r="E1620" t="s">
        <v>3502</v>
      </c>
      <c r="F1620" t="b">
        <v>1</v>
      </c>
      <c r="G1620" t="b">
        <v>0</v>
      </c>
      <c r="H1620" t="b">
        <v>0</v>
      </c>
      <c r="I1620" t="b">
        <v>0</v>
      </c>
    </row>
    <row r="1621" spans="1:9" x14ac:dyDescent="0.35">
      <c r="A1621" t="s">
        <v>1308</v>
      </c>
      <c r="B1621" t="s">
        <v>3284</v>
      </c>
      <c r="D1621" t="b">
        <f>IFERROR(VLOOKUP(B1621,PatData!$A$2:$A$2000,1,),"")&lt;&gt;""</f>
        <v>0</v>
      </c>
      <c r="E1621" t="s">
        <v>3503</v>
      </c>
      <c r="F1621" t="b">
        <v>1</v>
      </c>
      <c r="G1621" t="b">
        <v>0</v>
      </c>
      <c r="H1621" t="b">
        <v>0</v>
      </c>
      <c r="I1621" t="b">
        <v>0</v>
      </c>
    </row>
    <row r="1622" spans="1:9" ht="333.25" x14ac:dyDescent="0.35">
      <c r="A1622" t="s">
        <v>1309</v>
      </c>
      <c r="B1622" t="s">
        <v>3285</v>
      </c>
      <c r="D1622" t="b">
        <f>IFERROR(VLOOKUP(B1622,PatData!$A$2:$A$2000,1,),"")&lt;&gt;""</f>
        <v>0</v>
      </c>
      <c r="E1622" s="25" t="s">
        <v>3504</v>
      </c>
      <c r="F1622" t="b">
        <v>1</v>
      </c>
      <c r="G1622" t="b">
        <v>0</v>
      </c>
      <c r="H1622" t="b">
        <v>0</v>
      </c>
      <c r="I1622" t="b">
        <v>0</v>
      </c>
    </row>
    <row r="1623" spans="1:9" x14ac:dyDescent="0.35">
      <c r="A1623" t="s">
        <v>2607</v>
      </c>
      <c r="B1623" t="s">
        <v>3288</v>
      </c>
      <c r="D1623" t="b">
        <f>IFERROR(VLOOKUP(B1623,PatData!$A$2:$A$2000,1,),"")&lt;&gt;""</f>
        <v>0</v>
      </c>
      <c r="E1623" t="s">
        <v>3505</v>
      </c>
      <c r="F1623" t="b">
        <v>1</v>
      </c>
      <c r="G1623" t="b">
        <v>0</v>
      </c>
      <c r="H1623" t="b">
        <v>0</v>
      </c>
      <c r="I1623" t="b">
        <v>0</v>
      </c>
    </row>
    <row r="1624" spans="1:9" x14ac:dyDescent="0.35">
      <c r="A1624" t="s">
        <v>1316</v>
      </c>
      <c r="B1624" t="s">
        <v>3494</v>
      </c>
      <c r="D1624" t="b">
        <f>IFERROR(VLOOKUP(B1624,PatData!$A$2:$A$2000,1,),"")&lt;&gt;""</f>
        <v>0</v>
      </c>
      <c r="E1624" t="s">
        <v>3505</v>
      </c>
      <c r="F1624" t="b">
        <v>1</v>
      </c>
      <c r="G1624" t="b">
        <v>0</v>
      </c>
      <c r="H1624" t="b">
        <v>0</v>
      </c>
      <c r="I1624" t="b">
        <v>0</v>
      </c>
    </row>
    <row r="1625" spans="1:9" x14ac:dyDescent="0.35">
      <c r="A1625" t="s">
        <v>1327</v>
      </c>
      <c r="B1625" t="s">
        <v>3286</v>
      </c>
      <c r="D1625" t="b">
        <f>IFERROR(VLOOKUP(B1625,PatData!$A$2:$A$2000,1,),"")&lt;&gt;""</f>
        <v>0</v>
      </c>
      <c r="E1625" t="s">
        <v>3506</v>
      </c>
      <c r="F1625" t="b">
        <v>1</v>
      </c>
      <c r="G1625" t="b">
        <v>0</v>
      </c>
      <c r="H1625" t="b">
        <v>0</v>
      </c>
      <c r="I1625" t="b">
        <v>0</v>
      </c>
    </row>
    <row r="1626" spans="1:9" x14ac:dyDescent="0.35">
      <c r="A1626" t="s">
        <v>1328</v>
      </c>
      <c r="B1626" t="s">
        <v>3287</v>
      </c>
      <c r="D1626" t="b">
        <f>IFERROR(VLOOKUP(B1626,PatData!$A$2:$A$2000,1,),"")&lt;&gt;""</f>
        <v>0</v>
      </c>
      <c r="E1626" t="s">
        <v>4999</v>
      </c>
      <c r="F1626" t="b">
        <v>1</v>
      </c>
      <c r="G1626" t="b">
        <v>0</v>
      </c>
      <c r="H1626" t="b">
        <v>0</v>
      </c>
      <c r="I1626" t="b">
        <v>0</v>
      </c>
    </row>
    <row r="1627" spans="1:9" x14ac:dyDescent="0.35">
      <c r="A1627" t="s">
        <v>1865</v>
      </c>
      <c r="B1627" t="s">
        <v>3318</v>
      </c>
      <c r="D1627" t="b">
        <f>IFERROR(VLOOKUP(B1627,PatData!$A$2:$A$2000,1,),"")&lt;&gt;""</f>
        <v>0</v>
      </c>
      <c r="E1627" t="s">
        <v>4930</v>
      </c>
      <c r="F1627" t="b">
        <v>1</v>
      </c>
      <c r="G1627" t="b">
        <v>0</v>
      </c>
      <c r="H1627" t="b">
        <v>0</v>
      </c>
      <c r="I1627" t="b">
        <v>0</v>
      </c>
    </row>
    <row r="1628" spans="1:9" x14ac:dyDescent="0.35">
      <c r="A1628" t="s">
        <v>1866</v>
      </c>
      <c r="B1628" t="s">
        <v>3319</v>
      </c>
      <c r="D1628" t="b">
        <f>IFERROR(VLOOKUP(B1628,PatData!$A$2:$A$2000,1,),"")&lt;&gt;""</f>
        <v>0</v>
      </c>
      <c r="E1628" t="s">
        <v>3507</v>
      </c>
      <c r="F1628" t="b">
        <v>1</v>
      </c>
      <c r="G1628" t="b">
        <v>0</v>
      </c>
      <c r="H1628" t="b">
        <v>0</v>
      </c>
      <c r="I1628" t="b">
        <v>0</v>
      </c>
    </row>
    <row r="1629" spans="1:9" x14ac:dyDescent="0.35">
      <c r="A1629" t="s">
        <v>1867</v>
      </c>
      <c r="B1629" t="s">
        <v>3320</v>
      </c>
      <c r="D1629" t="b">
        <f>IFERROR(VLOOKUP(B1629,PatData!$A$2:$A$2000,1,),"")&lt;&gt;""</f>
        <v>0</v>
      </c>
      <c r="E1629" t="s">
        <v>3508</v>
      </c>
      <c r="F1629" t="b">
        <v>1</v>
      </c>
      <c r="G1629" t="b">
        <v>0</v>
      </c>
      <c r="H1629" t="b">
        <v>0</v>
      </c>
      <c r="I1629" t="b">
        <v>0</v>
      </c>
    </row>
    <row r="1630" spans="1:9" x14ac:dyDescent="0.35">
      <c r="A1630" t="s">
        <v>1868</v>
      </c>
      <c r="B1630" t="s">
        <v>3321</v>
      </c>
      <c r="D1630" t="b">
        <f>IFERROR(VLOOKUP(B1630,PatData!$A$2:$A$2000,1,),"")&lt;&gt;""</f>
        <v>0</v>
      </c>
      <c r="E1630" t="s">
        <v>3509</v>
      </c>
      <c r="F1630" t="b">
        <v>1</v>
      </c>
      <c r="G1630" t="b">
        <v>0</v>
      </c>
      <c r="H1630" t="b">
        <v>0</v>
      </c>
      <c r="I1630" t="b">
        <v>0</v>
      </c>
    </row>
    <row r="1631" spans="1:9" x14ac:dyDescent="0.35">
      <c r="A1631" t="s">
        <v>1869</v>
      </c>
      <c r="B1631" t="s">
        <v>3322</v>
      </c>
      <c r="D1631" t="b">
        <f>IFERROR(VLOOKUP(B1631,PatData!$A$2:$A$2000,1,),"")&lt;&gt;""</f>
        <v>0</v>
      </c>
      <c r="E1631" t="s">
        <v>3510</v>
      </c>
      <c r="F1631" t="b">
        <v>1</v>
      </c>
      <c r="G1631" t="b">
        <v>0</v>
      </c>
      <c r="H1631" t="b">
        <v>0</v>
      </c>
      <c r="I1631" t="b">
        <v>0</v>
      </c>
    </row>
    <row r="1632" spans="1:9" x14ac:dyDescent="0.35">
      <c r="A1632" t="s">
        <v>1870</v>
      </c>
      <c r="B1632" t="s">
        <v>3323</v>
      </c>
      <c r="D1632" t="b">
        <f>IFERROR(VLOOKUP(B1632,PatData!$A$2:$A$2000,1,),"")&lt;&gt;""</f>
        <v>0</v>
      </c>
      <c r="E1632" t="s">
        <v>3511</v>
      </c>
      <c r="F1632" t="b">
        <v>1</v>
      </c>
      <c r="G1632" t="b">
        <v>0</v>
      </c>
      <c r="H1632" t="b">
        <v>0</v>
      </c>
      <c r="I1632" t="b">
        <v>0</v>
      </c>
    </row>
    <row r="1633" spans="1:9" x14ac:dyDescent="0.35">
      <c r="A1633" t="s">
        <v>1871</v>
      </c>
      <c r="B1633" t="s">
        <v>3324</v>
      </c>
      <c r="D1633" t="b">
        <f>IFERROR(VLOOKUP(B1633,PatData!$A$2:$A$2000,1,),"")&lt;&gt;""</f>
        <v>0</v>
      </c>
      <c r="E1633" t="s">
        <v>3512</v>
      </c>
      <c r="F1633" t="b">
        <v>1</v>
      </c>
      <c r="G1633" t="b">
        <v>0</v>
      </c>
      <c r="H1633" t="b">
        <v>0</v>
      </c>
      <c r="I1633" t="b">
        <v>0</v>
      </c>
    </row>
    <row r="1634" spans="1:9" x14ac:dyDescent="0.35">
      <c r="A1634" t="s">
        <v>1872</v>
      </c>
      <c r="B1634" t="s">
        <v>3325</v>
      </c>
      <c r="D1634" t="b">
        <f>IFERROR(VLOOKUP(B1634,PatData!$A$2:$A$2000,1,),"")&lt;&gt;""</f>
        <v>0</v>
      </c>
      <c r="E1634" t="s">
        <v>3513</v>
      </c>
      <c r="F1634" t="b">
        <v>1</v>
      </c>
      <c r="G1634" t="b">
        <v>0</v>
      </c>
      <c r="H1634" t="b">
        <v>0</v>
      </c>
      <c r="I1634" t="b">
        <v>0</v>
      </c>
    </row>
    <row r="1635" spans="1:9" x14ac:dyDescent="0.35">
      <c r="A1635" t="s">
        <v>1873</v>
      </c>
      <c r="B1635" t="s">
        <v>3326</v>
      </c>
      <c r="D1635" t="b">
        <f>IFERROR(VLOOKUP(B1635,PatData!$A$2:$A$2000,1,),"")&lt;&gt;""</f>
        <v>0</v>
      </c>
      <c r="E1635" t="s">
        <v>3514</v>
      </c>
      <c r="F1635" t="b">
        <v>1</v>
      </c>
      <c r="G1635" t="b">
        <v>0</v>
      </c>
      <c r="H1635" t="b">
        <v>0</v>
      </c>
      <c r="I1635" t="b">
        <v>0</v>
      </c>
    </row>
    <row r="1636" spans="1:9" x14ac:dyDescent="0.35">
      <c r="A1636" t="s">
        <v>1874</v>
      </c>
      <c r="B1636" t="s">
        <v>3327</v>
      </c>
      <c r="D1636" t="b">
        <f>IFERROR(VLOOKUP(B1636,PatData!$A$2:$A$2000,1,),"")&lt;&gt;""</f>
        <v>0</v>
      </c>
      <c r="E1636" t="s">
        <v>4931</v>
      </c>
      <c r="F1636" t="b">
        <v>1</v>
      </c>
      <c r="G1636" t="b">
        <v>0</v>
      </c>
      <c r="H1636" t="b">
        <v>0</v>
      </c>
      <c r="I1636" t="b">
        <v>0</v>
      </c>
    </row>
    <row r="1637" spans="1:9" x14ac:dyDescent="0.35">
      <c r="A1637" t="s">
        <v>1875</v>
      </c>
      <c r="B1637" t="s">
        <v>3328</v>
      </c>
      <c r="D1637" t="b">
        <f>IFERROR(VLOOKUP(B1637,PatData!$A$2:$A$2000,1,),"")&lt;&gt;""</f>
        <v>0</v>
      </c>
      <c r="E1637" t="s">
        <v>3515</v>
      </c>
      <c r="F1637" t="b">
        <v>1</v>
      </c>
      <c r="G1637" t="b">
        <v>0</v>
      </c>
      <c r="H1637" t="b">
        <v>0</v>
      </c>
      <c r="I1637" t="b">
        <v>0</v>
      </c>
    </row>
    <row r="1638" spans="1:9" x14ac:dyDescent="0.35">
      <c r="A1638" t="s">
        <v>1876</v>
      </c>
      <c r="B1638" t="s">
        <v>3329</v>
      </c>
      <c r="D1638" t="b">
        <f>IFERROR(VLOOKUP(B1638,PatData!$A$2:$A$2000,1,),"")&lt;&gt;""</f>
        <v>0</v>
      </c>
      <c r="E1638" t="s">
        <v>3516</v>
      </c>
      <c r="F1638" t="b">
        <v>1</v>
      </c>
      <c r="G1638" t="b">
        <v>0</v>
      </c>
      <c r="H1638" t="b">
        <v>0</v>
      </c>
      <c r="I1638" t="b">
        <v>0</v>
      </c>
    </row>
    <row r="1639" spans="1:9" x14ac:dyDescent="0.35">
      <c r="A1639" t="s">
        <v>1877</v>
      </c>
      <c r="B1639" t="s">
        <v>3330</v>
      </c>
      <c r="D1639" t="b">
        <f>IFERROR(VLOOKUP(B1639,PatData!$A$2:$A$2000,1,),"")&lt;&gt;""</f>
        <v>0</v>
      </c>
      <c r="E1639" t="s">
        <v>3517</v>
      </c>
      <c r="F1639" t="b">
        <v>1</v>
      </c>
      <c r="G1639" t="b">
        <v>0</v>
      </c>
      <c r="H1639" t="b">
        <v>0</v>
      </c>
      <c r="I1639" t="b">
        <v>0</v>
      </c>
    </row>
    <row r="1640" spans="1:9" x14ac:dyDescent="0.35">
      <c r="A1640" t="s">
        <v>1878</v>
      </c>
      <c r="B1640" t="s">
        <v>3331</v>
      </c>
      <c r="D1640" t="b">
        <f>IFERROR(VLOOKUP(B1640,PatData!$A$2:$A$2000,1,),"")&lt;&gt;""</f>
        <v>0</v>
      </c>
      <c r="E1640" t="s">
        <v>3518</v>
      </c>
      <c r="F1640" t="b">
        <v>1</v>
      </c>
      <c r="G1640" t="b">
        <v>0</v>
      </c>
      <c r="H1640" t="b">
        <v>0</v>
      </c>
      <c r="I1640" t="b">
        <v>0</v>
      </c>
    </row>
    <row r="1641" spans="1:9" x14ac:dyDescent="0.35">
      <c r="A1641" t="s">
        <v>1879</v>
      </c>
      <c r="B1641" t="s">
        <v>3332</v>
      </c>
      <c r="D1641" t="b">
        <f>IFERROR(VLOOKUP(B1641,PatData!$A$2:$A$2000,1,),"")&lt;&gt;""</f>
        <v>0</v>
      </c>
      <c r="E1641" t="s">
        <v>3519</v>
      </c>
      <c r="F1641" t="b">
        <v>1</v>
      </c>
      <c r="G1641" t="b">
        <v>0</v>
      </c>
      <c r="H1641" t="b">
        <v>0</v>
      </c>
      <c r="I1641" t="b">
        <v>0</v>
      </c>
    </row>
    <row r="1642" spans="1:9" x14ac:dyDescent="0.35">
      <c r="A1642" t="s">
        <v>1880</v>
      </c>
      <c r="B1642" t="s">
        <v>3333</v>
      </c>
      <c r="D1642" t="b">
        <f>IFERROR(VLOOKUP(B1642,PatData!$A$2:$A$2000,1,),"")&lt;&gt;""</f>
        <v>0</v>
      </c>
      <c r="E1642" t="s">
        <v>3520</v>
      </c>
      <c r="F1642" t="b">
        <v>1</v>
      </c>
      <c r="G1642" t="b">
        <v>0</v>
      </c>
      <c r="H1642" t="b">
        <v>0</v>
      </c>
      <c r="I1642" t="b">
        <v>0</v>
      </c>
    </row>
    <row r="1643" spans="1:9" x14ac:dyDescent="0.35">
      <c r="A1643" t="s">
        <v>1881</v>
      </c>
      <c r="B1643" t="s">
        <v>3334</v>
      </c>
      <c r="D1643" t="b">
        <f>IFERROR(VLOOKUP(B1643,PatData!$A$2:$A$2000,1,),"")&lt;&gt;""</f>
        <v>0</v>
      </c>
      <c r="E1643" t="s">
        <v>3521</v>
      </c>
      <c r="F1643" t="b">
        <v>1</v>
      </c>
      <c r="G1643" t="b">
        <v>0</v>
      </c>
      <c r="H1643" t="b">
        <v>0</v>
      </c>
      <c r="I1643" t="b">
        <v>0</v>
      </c>
    </row>
    <row r="1644" spans="1:9" x14ac:dyDescent="0.35">
      <c r="A1644" t="s">
        <v>1882</v>
      </c>
      <c r="B1644" t="s">
        <v>3335</v>
      </c>
      <c r="D1644" t="b">
        <f>IFERROR(VLOOKUP(B1644,PatData!$A$2:$A$2000,1,),"")&lt;&gt;""</f>
        <v>0</v>
      </c>
      <c r="E1644" t="s">
        <v>3522</v>
      </c>
      <c r="F1644" t="b">
        <v>1</v>
      </c>
      <c r="G1644" t="b">
        <v>0</v>
      </c>
      <c r="H1644" t="b">
        <v>0</v>
      </c>
      <c r="I1644" t="b">
        <v>0</v>
      </c>
    </row>
    <row r="1645" spans="1:9" x14ac:dyDescent="0.35">
      <c r="A1645" t="s">
        <v>1883</v>
      </c>
      <c r="B1645" t="s">
        <v>3336</v>
      </c>
      <c r="D1645" t="b">
        <f>IFERROR(VLOOKUP(B1645,PatData!$A$2:$A$2000,1,),"")&lt;&gt;""</f>
        <v>0</v>
      </c>
      <c r="E1645" t="s">
        <v>3523</v>
      </c>
      <c r="F1645" t="b">
        <v>1</v>
      </c>
      <c r="G1645" t="b">
        <v>0</v>
      </c>
      <c r="H1645" t="b">
        <v>0</v>
      </c>
      <c r="I1645" t="b">
        <v>0</v>
      </c>
    </row>
    <row r="1646" spans="1:9" x14ac:dyDescent="0.35">
      <c r="A1646" t="s">
        <v>1884</v>
      </c>
      <c r="B1646" t="s">
        <v>3337</v>
      </c>
      <c r="D1646" t="b">
        <f>IFERROR(VLOOKUP(B1646,PatData!$A$2:$A$2000,1,),"")&lt;&gt;""</f>
        <v>0</v>
      </c>
      <c r="E1646" t="s">
        <v>3524</v>
      </c>
      <c r="F1646" t="b">
        <v>1</v>
      </c>
      <c r="G1646" t="b">
        <v>0</v>
      </c>
      <c r="H1646" t="b">
        <v>0</v>
      </c>
      <c r="I1646" t="b">
        <v>0</v>
      </c>
    </row>
    <row r="1647" spans="1:9" x14ac:dyDescent="0.35">
      <c r="A1647" t="s">
        <v>1885</v>
      </c>
      <c r="B1647" t="s">
        <v>3338</v>
      </c>
      <c r="D1647" t="b">
        <f>IFERROR(VLOOKUP(B1647,PatData!$A$2:$A$2000,1,),"")&lt;&gt;""</f>
        <v>0</v>
      </c>
      <c r="E1647" t="s">
        <v>4932</v>
      </c>
      <c r="F1647" t="b">
        <v>1</v>
      </c>
      <c r="G1647" t="b">
        <v>0</v>
      </c>
      <c r="H1647" t="b">
        <v>0</v>
      </c>
      <c r="I1647" t="b">
        <v>0</v>
      </c>
    </row>
    <row r="1648" spans="1:9" x14ac:dyDescent="0.35">
      <c r="A1648" t="s">
        <v>1886</v>
      </c>
      <c r="B1648" t="s">
        <v>3339</v>
      </c>
      <c r="D1648" t="b">
        <f>IFERROR(VLOOKUP(B1648,PatData!$A$2:$A$2000,1,),"")&lt;&gt;""</f>
        <v>0</v>
      </c>
      <c r="E1648" t="s">
        <v>3525</v>
      </c>
      <c r="F1648" t="b">
        <v>1</v>
      </c>
      <c r="G1648" t="b">
        <v>0</v>
      </c>
      <c r="H1648" t="b">
        <v>0</v>
      </c>
      <c r="I1648" t="b">
        <v>0</v>
      </c>
    </row>
    <row r="1649" spans="1:9" x14ac:dyDescent="0.35">
      <c r="A1649" t="s">
        <v>1887</v>
      </c>
      <c r="B1649" t="s">
        <v>3340</v>
      </c>
      <c r="D1649" t="b">
        <f>IFERROR(VLOOKUP(B1649,PatData!$A$2:$A$2000,1,),"")&lt;&gt;""</f>
        <v>0</v>
      </c>
      <c r="E1649" t="s">
        <v>3526</v>
      </c>
      <c r="F1649" t="b">
        <v>1</v>
      </c>
      <c r="G1649" t="b">
        <v>0</v>
      </c>
      <c r="H1649" t="b">
        <v>0</v>
      </c>
      <c r="I1649" t="b">
        <v>0</v>
      </c>
    </row>
    <row r="1650" spans="1:9" x14ac:dyDescent="0.35">
      <c r="A1650" t="s">
        <v>1888</v>
      </c>
      <c r="B1650" t="s">
        <v>3341</v>
      </c>
      <c r="D1650" t="b">
        <f>IFERROR(VLOOKUP(B1650,PatData!$A$2:$A$2000,1,),"")&lt;&gt;""</f>
        <v>0</v>
      </c>
      <c r="E1650" t="s">
        <v>3527</v>
      </c>
      <c r="F1650" t="b">
        <v>1</v>
      </c>
      <c r="G1650" t="b">
        <v>0</v>
      </c>
      <c r="H1650" t="b">
        <v>0</v>
      </c>
      <c r="I1650" t="b">
        <v>0</v>
      </c>
    </row>
    <row r="1651" spans="1:9" x14ac:dyDescent="0.35">
      <c r="A1651" t="s">
        <v>1889</v>
      </c>
      <c r="B1651" t="s">
        <v>3342</v>
      </c>
      <c r="D1651" t="b">
        <f>IFERROR(VLOOKUP(B1651,PatData!$A$2:$A$2000,1,),"")&lt;&gt;""</f>
        <v>0</v>
      </c>
      <c r="E1651" t="s">
        <v>3528</v>
      </c>
      <c r="F1651" t="b">
        <v>1</v>
      </c>
      <c r="G1651" t="b">
        <v>0</v>
      </c>
      <c r="H1651" t="b">
        <v>0</v>
      </c>
      <c r="I1651" t="b">
        <v>0</v>
      </c>
    </row>
    <row r="1652" spans="1:9" x14ac:dyDescent="0.35">
      <c r="A1652" t="s">
        <v>1890</v>
      </c>
      <c r="B1652" t="s">
        <v>3343</v>
      </c>
      <c r="D1652" t="b">
        <f>IFERROR(VLOOKUP(B1652,PatData!$A$2:$A$2000,1,),"")&lt;&gt;""</f>
        <v>0</v>
      </c>
      <c r="E1652" t="s">
        <v>3529</v>
      </c>
      <c r="F1652" t="b">
        <v>1</v>
      </c>
      <c r="G1652" t="b">
        <v>0</v>
      </c>
      <c r="H1652" t="b">
        <v>0</v>
      </c>
      <c r="I1652" t="b">
        <v>0</v>
      </c>
    </row>
    <row r="1653" spans="1:9" x14ac:dyDescent="0.35">
      <c r="A1653" t="s">
        <v>1891</v>
      </c>
      <c r="B1653" t="s">
        <v>3344</v>
      </c>
      <c r="D1653" t="b">
        <f>IFERROR(VLOOKUP(B1653,PatData!$A$2:$A$2000,1,),"")&lt;&gt;""</f>
        <v>0</v>
      </c>
      <c r="E1653" t="s">
        <v>3530</v>
      </c>
      <c r="F1653" t="b">
        <v>1</v>
      </c>
      <c r="G1653" t="b">
        <v>0</v>
      </c>
      <c r="H1653" t="b">
        <v>0</v>
      </c>
      <c r="I1653" t="b">
        <v>0</v>
      </c>
    </row>
    <row r="1654" spans="1:9" x14ac:dyDescent="0.35">
      <c r="A1654" t="s">
        <v>1892</v>
      </c>
      <c r="B1654" t="s">
        <v>3345</v>
      </c>
      <c r="D1654" t="b">
        <f>IFERROR(VLOOKUP(B1654,PatData!$A$2:$A$2000,1,),"")&lt;&gt;""</f>
        <v>0</v>
      </c>
      <c r="E1654" t="s">
        <v>3531</v>
      </c>
      <c r="F1654" t="b">
        <v>1</v>
      </c>
      <c r="G1654" t="b">
        <v>0</v>
      </c>
      <c r="H1654" t="b">
        <v>0</v>
      </c>
      <c r="I1654" t="b">
        <v>0</v>
      </c>
    </row>
    <row r="1655" spans="1:9" x14ac:dyDescent="0.35">
      <c r="A1655" t="s">
        <v>1893</v>
      </c>
      <c r="B1655" t="s">
        <v>3346</v>
      </c>
      <c r="D1655" t="b">
        <f>IFERROR(VLOOKUP(B1655,PatData!$A$2:$A$2000,1,),"")&lt;&gt;""</f>
        <v>0</v>
      </c>
      <c r="E1655" t="s">
        <v>3532</v>
      </c>
      <c r="F1655" t="b">
        <v>1</v>
      </c>
      <c r="G1655" t="b">
        <v>0</v>
      </c>
      <c r="H1655" t="b">
        <v>0</v>
      </c>
      <c r="I1655" t="b">
        <v>0</v>
      </c>
    </row>
    <row r="1656" spans="1:9" x14ac:dyDescent="0.35">
      <c r="A1656" t="s">
        <v>1894</v>
      </c>
      <c r="B1656" t="s">
        <v>3347</v>
      </c>
      <c r="D1656" t="b">
        <f>IFERROR(VLOOKUP(B1656,PatData!$A$2:$A$2000,1,),"")&lt;&gt;""</f>
        <v>0</v>
      </c>
      <c r="E1656" t="s">
        <v>4933</v>
      </c>
      <c r="F1656" t="b">
        <v>1</v>
      </c>
      <c r="G1656" t="b">
        <v>0</v>
      </c>
      <c r="H1656" t="b">
        <v>0</v>
      </c>
      <c r="I1656" t="b">
        <v>0</v>
      </c>
    </row>
    <row r="1657" spans="1:9" x14ac:dyDescent="0.35">
      <c r="A1657" t="s">
        <v>1895</v>
      </c>
      <c r="B1657" t="s">
        <v>3348</v>
      </c>
      <c r="D1657" t="b">
        <f>IFERROR(VLOOKUP(B1657,PatData!$A$2:$A$2000,1,),"")&lt;&gt;""</f>
        <v>0</v>
      </c>
      <c r="E1657" t="s">
        <v>4934</v>
      </c>
      <c r="F1657" t="b">
        <v>1</v>
      </c>
      <c r="G1657" t="b">
        <v>0</v>
      </c>
      <c r="H1657" t="b">
        <v>0</v>
      </c>
      <c r="I1657" t="b">
        <v>0</v>
      </c>
    </row>
    <row r="1658" spans="1:9" x14ac:dyDescent="0.35">
      <c r="A1658" t="s">
        <v>1896</v>
      </c>
      <c r="B1658" t="s">
        <v>3349</v>
      </c>
      <c r="D1658" t="b">
        <f>IFERROR(VLOOKUP(B1658,PatData!$A$2:$A$2000,1,),"")&lt;&gt;""</f>
        <v>0</v>
      </c>
      <c r="E1658" t="s">
        <v>4935</v>
      </c>
      <c r="F1658" t="b">
        <v>1</v>
      </c>
      <c r="G1658" t="b">
        <v>0</v>
      </c>
      <c r="H1658" t="b">
        <v>0</v>
      </c>
      <c r="I1658" t="b">
        <v>0</v>
      </c>
    </row>
    <row r="1659" spans="1:9" x14ac:dyDescent="0.35">
      <c r="A1659" t="s">
        <v>1897</v>
      </c>
      <c r="B1659" t="s">
        <v>3350</v>
      </c>
      <c r="D1659" t="b">
        <f>IFERROR(VLOOKUP(B1659,PatData!$A$2:$A$2000,1,),"")&lt;&gt;""</f>
        <v>0</v>
      </c>
      <c r="E1659" t="s">
        <v>4936</v>
      </c>
      <c r="F1659" t="b">
        <v>1</v>
      </c>
      <c r="G1659" t="b">
        <v>0</v>
      </c>
      <c r="H1659" t="b">
        <v>0</v>
      </c>
      <c r="I1659" t="b">
        <v>0</v>
      </c>
    </row>
    <row r="1660" spans="1:9" x14ac:dyDescent="0.35">
      <c r="A1660" t="s">
        <v>1898</v>
      </c>
      <c r="B1660" t="s">
        <v>3351</v>
      </c>
      <c r="D1660" t="b">
        <f>IFERROR(VLOOKUP(B1660,PatData!$A$2:$A$2000,1,),"")&lt;&gt;""</f>
        <v>0</v>
      </c>
      <c r="E1660" t="s">
        <v>4937</v>
      </c>
      <c r="F1660" t="b">
        <v>1</v>
      </c>
      <c r="G1660" t="b">
        <v>0</v>
      </c>
      <c r="H1660" t="b">
        <v>0</v>
      </c>
      <c r="I1660" t="b">
        <v>0</v>
      </c>
    </row>
    <row r="1661" spans="1:9" x14ac:dyDescent="0.35">
      <c r="A1661" t="s">
        <v>1899</v>
      </c>
      <c r="B1661" t="s">
        <v>3352</v>
      </c>
      <c r="D1661" t="b">
        <f>IFERROR(VLOOKUP(B1661,PatData!$A$2:$A$2000,1,),"")&lt;&gt;""</f>
        <v>0</v>
      </c>
      <c r="E1661" t="s">
        <v>4938</v>
      </c>
      <c r="F1661" t="b">
        <v>1</v>
      </c>
      <c r="G1661" t="b">
        <v>0</v>
      </c>
      <c r="H1661" t="b">
        <v>0</v>
      </c>
      <c r="I1661" t="b">
        <v>0</v>
      </c>
    </row>
    <row r="1662" spans="1:9" x14ac:dyDescent="0.35">
      <c r="A1662" t="s">
        <v>1900</v>
      </c>
      <c r="B1662" t="s">
        <v>3353</v>
      </c>
      <c r="D1662" t="b">
        <f>IFERROR(VLOOKUP(B1662,PatData!$A$2:$A$2000,1,),"")&lt;&gt;""</f>
        <v>0</v>
      </c>
      <c r="E1662" t="s">
        <v>4939</v>
      </c>
      <c r="F1662" t="b">
        <v>1</v>
      </c>
      <c r="G1662" t="b">
        <v>0</v>
      </c>
      <c r="H1662" t="b">
        <v>0</v>
      </c>
      <c r="I1662" t="b">
        <v>0</v>
      </c>
    </row>
    <row r="1663" spans="1:9" x14ac:dyDescent="0.35">
      <c r="A1663" t="s">
        <v>1901</v>
      </c>
      <c r="B1663" t="s">
        <v>3354</v>
      </c>
      <c r="D1663" t="b">
        <f>IFERROR(VLOOKUP(B1663,PatData!$A$2:$A$2000,1,),"")&lt;&gt;""</f>
        <v>0</v>
      </c>
      <c r="E1663" t="s">
        <v>3533</v>
      </c>
      <c r="F1663" t="b">
        <v>1</v>
      </c>
      <c r="G1663" t="b">
        <v>0</v>
      </c>
      <c r="H1663" t="b">
        <v>0</v>
      </c>
      <c r="I1663" t="b">
        <v>0</v>
      </c>
    </row>
    <row r="1664" spans="1:9" x14ac:dyDescent="0.35">
      <c r="A1664" t="s">
        <v>1902</v>
      </c>
      <c r="B1664" t="s">
        <v>3355</v>
      </c>
      <c r="D1664" t="b">
        <f>IFERROR(VLOOKUP(B1664,PatData!$A$2:$A$2000,1,),"")&lt;&gt;""</f>
        <v>0</v>
      </c>
      <c r="E1664" t="s">
        <v>3534</v>
      </c>
      <c r="F1664" t="b">
        <v>1</v>
      </c>
      <c r="G1664" t="b">
        <v>0</v>
      </c>
      <c r="H1664" t="b">
        <v>0</v>
      </c>
      <c r="I1664" t="b">
        <v>0</v>
      </c>
    </row>
    <row r="1665" spans="1:9" x14ac:dyDescent="0.35">
      <c r="A1665" t="s">
        <v>1903</v>
      </c>
      <c r="B1665" t="s">
        <v>3356</v>
      </c>
      <c r="D1665" t="b">
        <f>IFERROR(VLOOKUP(B1665,PatData!$A$2:$A$2000,1,),"")&lt;&gt;""</f>
        <v>0</v>
      </c>
      <c r="E1665" t="s">
        <v>4940</v>
      </c>
      <c r="F1665" t="b">
        <v>1</v>
      </c>
      <c r="G1665" t="b">
        <v>0</v>
      </c>
      <c r="H1665" t="b">
        <v>0</v>
      </c>
      <c r="I1665" t="b">
        <v>0</v>
      </c>
    </row>
    <row r="1666" spans="1:9" x14ac:dyDescent="0.35">
      <c r="A1666" t="s">
        <v>1904</v>
      </c>
      <c r="B1666" t="s">
        <v>3357</v>
      </c>
      <c r="D1666" t="b">
        <f>IFERROR(VLOOKUP(B1666,PatData!$A$2:$A$2000,1,),"")&lt;&gt;""</f>
        <v>0</v>
      </c>
      <c r="E1666" t="s">
        <v>3535</v>
      </c>
      <c r="F1666" t="b">
        <v>1</v>
      </c>
      <c r="G1666" t="b">
        <v>0</v>
      </c>
      <c r="H1666" t="b">
        <v>0</v>
      </c>
      <c r="I1666" t="b">
        <v>0</v>
      </c>
    </row>
    <row r="1667" spans="1:9" x14ac:dyDescent="0.35">
      <c r="A1667" t="s">
        <v>1905</v>
      </c>
      <c r="B1667" t="s">
        <v>3358</v>
      </c>
      <c r="D1667" t="b">
        <f>IFERROR(VLOOKUP(B1667,PatData!$A$2:$A$2000,1,),"")&lt;&gt;""</f>
        <v>0</v>
      </c>
      <c r="E1667" t="s">
        <v>3536</v>
      </c>
      <c r="F1667" t="b">
        <v>1</v>
      </c>
      <c r="G1667" t="b">
        <v>0</v>
      </c>
      <c r="H1667" t="b">
        <v>0</v>
      </c>
      <c r="I1667" t="b">
        <v>0</v>
      </c>
    </row>
    <row r="1668" spans="1:9" x14ac:dyDescent="0.35">
      <c r="A1668" t="s">
        <v>1906</v>
      </c>
      <c r="B1668" t="s">
        <v>3359</v>
      </c>
      <c r="D1668" t="b">
        <f>IFERROR(VLOOKUP(B1668,PatData!$A$2:$A$2000,1,),"")&lt;&gt;""</f>
        <v>0</v>
      </c>
      <c r="E1668" t="s">
        <v>3537</v>
      </c>
      <c r="F1668" t="b">
        <v>1</v>
      </c>
      <c r="G1668" t="b">
        <v>0</v>
      </c>
      <c r="H1668" t="b">
        <v>0</v>
      </c>
      <c r="I1668" t="b">
        <v>0</v>
      </c>
    </row>
    <row r="1669" spans="1:9" x14ac:dyDescent="0.35">
      <c r="A1669" t="s">
        <v>1907</v>
      </c>
      <c r="B1669" t="s">
        <v>3360</v>
      </c>
      <c r="D1669" t="b">
        <f>IFERROR(VLOOKUP(B1669,PatData!$A$2:$A$2000,1,),"")&lt;&gt;""</f>
        <v>0</v>
      </c>
      <c r="E1669" t="s">
        <v>3538</v>
      </c>
      <c r="F1669" t="b">
        <v>1</v>
      </c>
      <c r="G1669" t="b">
        <v>0</v>
      </c>
      <c r="H1669" t="b">
        <v>0</v>
      </c>
      <c r="I1669" t="b">
        <v>0</v>
      </c>
    </row>
    <row r="1670" spans="1:9" x14ac:dyDescent="0.35">
      <c r="A1670" t="s">
        <v>1908</v>
      </c>
      <c r="B1670" t="s">
        <v>3361</v>
      </c>
      <c r="D1670" t="b">
        <f>IFERROR(VLOOKUP(B1670,PatData!$A$2:$A$2000,1,),"")&lt;&gt;""</f>
        <v>0</v>
      </c>
      <c r="E1670" t="s">
        <v>3539</v>
      </c>
      <c r="F1670" t="b">
        <v>1</v>
      </c>
      <c r="G1670" t="b">
        <v>0</v>
      </c>
      <c r="H1670" t="b">
        <v>0</v>
      </c>
      <c r="I1670" t="b">
        <v>0</v>
      </c>
    </row>
    <row r="1671" spans="1:9" x14ac:dyDescent="0.35">
      <c r="A1671" t="s">
        <v>1909</v>
      </c>
      <c r="B1671" t="s">
        <v>3362</v>
      </c>
      <c r="D1671" t="b">
        <f>IFERROR(VLOOKUP(B1671,PatData!$A$2:$A$2000,1,),"")&lt;&gt;""</f>
        <v>0</v>
      </c>
      <c r="E1671" t="s">
        <v>3540</v>
      </c>
      <c r="F1671" t="b">
        <v>1</v>
      </c>
      <c r="G1671" t="b">
        <v>0</v>
      </c>
      <c r="H1671" t="b">
        <v>0</v>
      </c>
      <c r="I1671" t="b">
        <v>0</v>
      </c>
    </row>
    <row r="1672" spans="1:9" x14ac:dyDescent="0.35">
      <c r="A1672" t="s">
        <v>1910</v>
      </c>
      <c r="B1672" t="s">
        <v>3363</v>
      </c>
      <c r="D1672" t="b">
        <f>IFERROR(VLOOKUP(B1672,PatData!$A$2:$A$2000,1,),"")&lt;&gt;""</f>
        <v>0</v>
      </c>
      <c r="E1672" t="s">
        <v>3541</v>
      </c>
      <c r="F1672" t="b">
        <v>1</v>
      </c>
      <c r="G1672" t="b">
        <v>0</v>
      </c>
      <c r="H1672" t="b">
        <v>0</v>
      </c>
      <c r="I1672" t="b">
        <v>0</v>
      </c>
    </row>
    <row r="1673" spans="1:9" x14ac:dyDescent="0.35">
      <c r="A1673" t="s">
        <v>1911</v>
      </c>
      <c r="B1673" t="s">
        <v>3364</v>
      </c>
      <c r="D1673" t="b">
        <f>IFERROR(VLOOKUP(B1673,PatData!$A$2:$A$2000,1,),"")&lt;&gt;""</f>
        <v>0</v>
      </c>
      <c r="E1673" t="s">
        <v>3532</v>
      </c>
      <c r="F1673" t="b">
        <v>1</v>
      </c>
      <c r="G1673" t="b">
        <v>0</v>
      </c>
      <c r="H1673" t="b">
        <v>0</v>
      </c>
      <c r="I1673" t="b">
        <v>0</v>
      </c>
    </row>
    <row r="1674" spans="1:9" x14ac:dyDescent="0.35">
      <c r="A1674" t="s">
        <v>1912</v>
      </c>
      <c r="B1674" t="s">
        <v>3365</v>
      </c>
      <c r="D1674" t="b">
        <f>IFERROR(VLOOKUP(B1674,PatData!$A$2:$A$2000,1,),"")&lt;&gt;""</f>
        <v>0</v>
      </c>
      <c r="E1674" t="s">
        <v>4941</v>
      </c>
      <c r="F1674" t="b">
        <v>1</v>
      </c>
      <c r="G1674" t="b">
        <v>0</v>
      </c>
      <c r="H1674" t="b">
        <v>0</v>
      </c>
      <c r="I1674" t="b">
        <v>0</v>
      </c>
    </row>
    <row r="1675" spans="1:9" x14ac:dyDescent="0.35">
      <c r="A1675" t="s">
        <v>1913</v>
      </c>
      <c r="B1675" t="s">
        <v>3366</v>
      </c>
      <c r="D1675" t="b">
        <f>IFERROR(VLOOKUP(B1675,PatData!$A$2:$A$2000,1,),"")&lt;&gt;""</f>
        <v>0</v>
      </c>
      <c r="E1675" t="s">
        <v>4942</v>
      </c>
      <c r="F1675" t="b">
        <v>1</v>
      </c>
      <c r="G1675" t="b">
        <v>0</v>
      </c>
      <c r="H1675" t="b">
        <v>0</v>
      </c>
      <c r="I1675" t="b">
        <v>0</v>
      </c>
    </row>
    <row r="1676" spans="1:9" x14ac:dyDescent="0.35">
      <c r="A1676" t="s">
        <v>1914</v>
      </c>
      <c r="B1676" t="s">
        <v>3367</v>
      </c>
      <c r="D1676" t="b">
        <f>IFERROR(VLOOKUP(B1676,PatData!$A$2:$A$2000,1,),"")&lt;&gt;""</f>
        <v>0</v>
      </c>
      <c r="E1676" t="s">
        <v>4943</v>
      </c>
      <c r="F1676" t="b">
        <v>1</v>
      </c>
      <c r="G1676" t="b">
        <v>0</v>
      </c>
      <c r="H1676" t="b">
        <v>0</v>
      </c>
      <c r="I1676" t="b">
        <v>0</v>
      </c>
    </row>
    <row r="1677" spans="1:9" x14ac:dyDescent="0.35">
      <c r="A1677" t="s">
        <v>1915</v>
      </c>
      <c r="B1677" t="s">
        <v>3368</v>
      </c>
      <c r="D1677" t="b">
        <f>IFERROR(VLOOKUP(B1677,PatData!$A$2:$A$2000,1,),"")&lt;&gt;""</f>
        <v>0</v>
      </c>
      <c r="E1677" t="s">
        <v>4944</v>
      </c>
      <c r="F1677" t="b">
        <v>1</v>
      </c>
      <c r="G1677" t="b">
        <v>0</v>
      </c>
      <c r="H1677" t="b">
        <v>0</v>
      </c>
      <c r="I1677" t="b">
        <v>0</v>
      </c>
    </row>
    <row r="1678" spans="1:9" x14ac:dyDescent="0.35">
      <c r="A1678" t="s">
        <v>1916</v>
      </c>
      <c r="B1678" t="s">
        <v>3369</v>
      </c>
      <c r="D1678" t="b">
        <f>IFERROR(VLOOKUP(B1678,PatData!$A$2:$A$2000,1,),"")&lt;&gt;""</f>
        <v>0</v>
      </c>
      <c r="E1678" t="s">
        <v>4945</v>
      </c>
      <c r="F1678" t="b">
        <v>1</v>
      </c>
      <c r="G1678" t="b">
        <v>0</v>
      </c>
      <c r="H1678" t="b">
        <v>0</v>
      </c>
      <c r="I1678" t="b">
        <v>0</v>
      </c>
    </row>
    <row r="1679" spans="1:9" x14ac:dyDescent="0.35">
      <c r="A1679" t="s">
        <v>1917</v>
      </c>
      <c r="B1679" t="s">
        <v>3370</v>
      </c>
      <c r="D1679" t="b">
        <f>IFERROR(VLOOKUP(B1679,PatData!$A$2:$A$2000,1,),"")&lt;&gt;""</f>
        <v>0</v>
      </c>
      <c r="E1679" t="s">
        <v>4946</v>
      </c>
      <c r="F1679" t="b">
        <v>1</v>
      </c>
      <c r="G1679" t="b">
        <v>0</v>
      </c>
      <c r="H1679" t="b">
        <v>0</v>
      </c>
      <c r="I1679" t="b">
        <v>0</v>
      </c>
    </row>
    <row r="1680" spans="1:9" x14ac:dyDescent="0.35">
      <c r="A1680" t="s">
        <v>1918</v>
      </c>
      <c r="B1680" t="s">
        <v>3371</v>
      </c>
      <c r="D1680" t="b">
        <f>IFERROR(VLOOKUP(B1680,PatData!$A$2:$A$2000,1,),"")&lt;&gt;""</f>
        <v>0</v>
      </c>
      <c r="E1680" t="s">
        <v>4947</v>
      </c>
      <c r="F1680" t="b">
        <v>1</v>
      </c>
      <c r="G1680" t="b">
        <v>0</v>
      </c>
      <c r="H1680" t="b">
        <v>0</v>
      </c>
      <c r="I1680" t="b">
        <v>0</v>
      </c>
    </row>
    <row r="1681" spans="1:9" x14ac:dyDescent="0.35">
      <c r="A1681" t="s">
        <v>2266</v>
      </c>
      <c r="B1681" t="s">
        <v>3300</v>
      </c>
      <c r="D1681" t="b">
        <f>IFERROR(VLOOKUP(B1681,PatData!$A$2:$A$2000,1,),"")&lt;&gt;""</f>
        <v>0</v>
      </c>
      <c r="E1681" t="s">
        <v>3542</v>
      </c>
      <c r="F1681" t="b">
        <v>1</v>
      </c>
      <c r="G1681" t="b">
        <v>0</v>
      </c>
      <c r="H1681" t="b">
        <v>0</v>
      </c>
      <c r="I1681" t="b">
        <v>0</v>
      </c>
    </row>
    <row r="1682" spans="1:9" x14ac:dyDescent="0.35">
      <c r="A1682" t="s">
        <v>2267</v>
      </c>
      <c r="B1682" t="s">
        <v>3301</v>
      </c>
      <c r="D1682" t="b">
        <f>IFERROR(VLOOKUP(B1682,PatData!$A$2:$A$2000,1,),"")&lt;&gt;""</f>
        <v>0</v>
      </c>
      <c r="E1682" t="s">
        <v>3543</v>
      </c>
      <c r="F1682" t="b">
        <v>1</v>
      </c>
      <c r="G1682" t="b">
        <v>0</v>
      </c>
      <c r="H1682" t="b">
        <v>0</v>
      </c>
      <c r="I1682" t="b">
        <v>0</v>
      </c>
    </row>
    <row r="1683" spans="1:9" x14ac:dyDescent="0.35">
      <c r="A1683" t="s">
        <v>2268</v>
      </c>
      <c r="B1683" t="s">
        <v>3302</v>
      </c>
      <c r="D1683" t="b">
        <f>IFERROR(VLOOKUP(B1683,PatData!$A$2:$A$2000,1,),"")&lt;&gt;""</f>
        <v>0</v>
      </c>
      <c r="E1683" t="s">
        <v>3544</v>
      </c>
      <c r="F1683" t="b">
        <v>1</v>
      </c>
      <c r="G1683" t="b">
        <v>0</v>
      </c>
      <c r="H1683" t="b">
        <v>0</v>
      </c>
      <c r="I1683" t="b">
        <v>0</v>
      </c>
    </row>
    <row r="1684" spans="1:9" x14ac:dyDescent="0.35">
      <c r="A1684" t="s">
        <v>2269</v>
      </c>
      <c r="B1684" t="s">
        <v>3303</v>
      </c>
      <c r="D1684" t="b">
        <f>IFERROR(VLOOKUP(B1684,PatData!$A$2:$A$2000,1,),"")&lt;&gt;""</f>
        <v>0</v>
      </c>
      <c r="E1684" t="s">
        <v>3545</v>
      </c>
      <c r="F1684" t="b">
        <v>1</v>
      </c>
      <c r="G1684" t="b">
        <v>0</v>
      </c>
      <c r="H1684" t="b">
        <v>0</v>
      </c>
      <c r="I1684" t="b">
        <v>0</v>
      </c>
    </row>
    <row r="1685" spans="1:9" x14ac:dyDescent="0.35">
      <c r="A1685" t="s">
        <v>2270</v>
      </c>
      <c r="B1685" t="s">
        <v>3304</v>
      </c>
      <c r="D1685" t="b">
        <f>IFERROR(VLOOKUP(B1685,PatData!$A$2:$A$2000,1,),"")&lt;&gt;""</f>
        <v>0</v>
      </c>
      <c r="E1685" t="s">
        <v>3546</v>
      </c>
      <c r="F1685" t="b">
        <v>1</v>
      </c>
      <c r="G1685" t="b">
        <v>0</v>
      </c>
      <c r="H1685" t="b">
        <v>0</v>
      </c>
      <c r="I1685" t="b">
        <v>0</v>
      </c>
    </row>
    <row r="1686" spans="1:9" x14ac:dyDescent="0.35">
      <c r="A1686" t="s">
        <v>2271</v>
      </c>
      <c r="B1686" t="s">
        <v>3305</v>
      </c>
      <c r="D1686" t="b">
        <f>IFERROR(VLOOKUP(B1686,PatData!$A$2:$A$2000,1,),"")&lt;&gt;""</f>
        <v>0</v>
      </c>
      <c r="E1686" t="s">
        <v>3547</v>
      </c>
      <c r="F1686" t="b">
        <v>1</v>
      </c>
      <c r="G1686" t="b">
        <v>0</v>
      </c>
      <c r="H1686" t="b">
        <v>0</v>
      </c>
      <c r="I1686" t="b">
        <v>0</v>
      </c>
    </row>
    <row r="1687" spans="1:9" x14ac:dyDescent="0.35">
      <c r="A1687" t="s">
        <v>2272</v>
      </c>
      <c r="B1687" t="s">
        <v>3306</v>
      </c>
      <c r="D1687" t="b">
        <f>IFERROR(VLOOKUP(B1687,PatData!$A$2:$A$2000,1,),"")&lt;&gt;""</f>
        <v>0</v>
      </c>
      <c r="E1687" t="s">
        <v>3548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35">
      <c r="A1688" t="s">
        <v>2273</v>
      </c>
      <c r="B1688" t="s">
        <v>3307</v>
      </c>
      <c r="D1688" t="b">
        <f>IFERROR(VLOOKUP(B1688,PatData!$A$2:$A$2000,1,),"")&lt;&gt;""</f>
        <v>0</v>
      </c>
      <c r="E1688" t="s">
        <v>3549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35">
      <c r="A1689" t="s">
        <v>2274</v>
      </c>
      <c r="B1689" t="s">
        <v>3308</v>
      </c>
      <c r="D1689" t="b">
        <f>IFERROR(VLOOKUP(B1689,PatData!$A$2:$A$2000,1,),"")&lt;&gt;""</f>
        <v>0</v>
      </c>
      <c r="E1689" t="s">
        <v>3550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35">
      <c r="A1690" t="s">
        <v>2275</v>
      </c>
      <c r="B1690" t="s">
        <v>3309</v>
      </c>
      <c r="D1690" t="b">
        <f>IFERROR(VLOOKUP(B1690,PatData!$A$2:$A$2000,1,),"")&lt;&gt;""</f>
        <v>0</v>
      </c>
      <c r="E1690" t="s">
        <v>3551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35">
      <c r="A1691" t="s">
        <v>2276</v>
      </c>
      <c r="B1691" t="s">
        <v>3310</v>
      </c>
      <c r="D1691" t="b">
        <f>IFERROR(VLOOKUP(B1691,PatData!$A$2:$A$2000,1,),"")&lt;&gt;""</f>
        <v>0</v>
      </c>
      <c r="E1691" t="s">
        <v>3552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35">
      <c r="A1692" t="s">
        <v>2277</v>
      </c>
      <c r="B1692" t="s">
        <v>3311</v>
      </c>
      <c r="D1692" t="b">
        <f>IFERROR(VLOOKUP(B1692,PatData!$A$2:$A$2000,1,),"")&lt;&gt;""</f>
        <v>0</v>
      </c>
      <c r="E1692" t="s">
        <v>3553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35">
      <c r="A1693" t="s">
        <v>2278</v>
      </c>
      <c r="B1693" t="s">
        <v>3312</v>
      </c>
      <c r="D1693" t="b">
        <f>IFERROR(VLOOKUP(B1693,PatData!$A$2:$A$2000,1,),"")&lt;&gt;""</f>
        <v>0</v>
      </c>
      <c r="E1693" t="s">
        <v>3554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35">
      <c r="A1694" t="s">
        <v>2279</v>
      </c>
      <c r="B1694" t="s">
        <v>3313</v>
      </c>
      <c r="D1694" t="b">
        <f>IFERROR(VLOOKUP(B1694,PatData!$A$2:$A$2000,1,),"")&lt;&gt;""</f>
        <v>0</v>
      </c>
      <c r="E1694" t="s">
        <v>3555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35">
      <c r="A1695" t="s">
        <v>2280</v>
      </c>
      <c r="B1695" t="s">
        <v>3314</v>
      </c>
      <c r="D1695" t="b">
        <f>IFERROR(VLOOKUP(B1695,PatData!$A$2:$A$2000,1,),"")&lt;&gt;""</f>
        <v>0</v>
      </c>
      <c r="E1695" t="s">
        <v>3556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35">
      <c r="A1696" t="s">
        <v>2281</v>
      </c>
      <c r="B1696" t="s">
        <v>3315</v>
      </c>
      <c r="D1696" t="b">
        <f>IFERROR(VLOOKUP(B1696,PatData!$A$2:$A$2000,1,),"")&lt;&gt;""</f>
        <v>0</v>
      </c>
      <c r="E1696" t="s">
        <v>3557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35">
      <c r="A1697" t="s">
        <v>2282</v>
      </c>
      <c r="B1697" t="s">
        <v>3316</v>
      </c>
      <c r="D1697" t="b">
        <f>IFERROR(VLOOKUP(B1697,PatData!$A$2:$A$2000,1,),"")&lt;&gt;""</f>
        <v>0</v>
      </c>
      <c r="E1697" t="s">
        <v>3558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35">
      <c r="A1698" t="s">
        <v>2283</v>
      </c>
      <c r="B1698" t="s">
        <v>3317</v>
      </c>
      <c r="D1698" t="b">
        <f>IFERROR(VLOOKUP(B1698,PatData!$A$2:$A$2000,1,),"")&lt;&gt;""</f>
        <v>0</v>
      </c>
      <c r="E1698" t="s">
        <v>3559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35">
      <c r="A1699" t="s">
        <v>1919</v>
      </c>
      <c r="B1699" t="s">
        <v>3372</v>
      </c>
      <c r="D1699" t="b">
        <f>IFERROR(VLOOKUP(B1699,PatData!$A$2:$A$2000,1,),"")&lt;&gt;""</f>
        <v>0</v>
      </c>
      <c r="E1699" t="s">
        <v>3560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35">
      <c r="A1700" t="s">
        <v>1920</v>
      </c>
      <c r="B1700" t="s">
        <v>3373</v>
      </c>
      <c r="D1700" t="b">
        <f>IFERROR(VLOOKUP(B1700,PatData!$A$2:$A$2000,1,),"")&lt;&gt;""</f>
        <v>0</v>
      </c>
      <c r="E1700" t="s">
        <v>4948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35">
      <c r="A1701" t="s">
        <v>1921</v>
      </c>
      <c r="B1701" t="s">
        <v>3374</v>
      </c>
      <c r="D1701" t="b">
        <f>IFERROR(VLOOKUP(B1701,PatData!$A$2:$A$2000,1,),"")&lt;&gt;""</f>
        <v>0</v>
      </c>
      <c r="E1701" t="s">
        <v>4949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35">
      <c r="A1702" t="s">
        <v>1922</v>
      </c>
      <c r="B1702" t="s">
        <v>3375</v>
      </c>
      <c r="D1702" t="b">
        <f>IFERROR(VLOOKUP(B1702,PatData!$A$2:$A$2000,1,),"")&lt;&gt;""</f>
        <v>0</v>
      </c>
      <c r="E1702" t="s">
        <v>4950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35">
      <c r="A1703" t="s">
        <v>1923</v>
      </c>
      <c r="B1703" t="s">
        <v>3376</v>
      </c>
      <c r="D1703" t="b">
        <f>IFERROR(VLOOKUP(B1703,PatData!$A$2:$A$2000,1,),"")&lt;&gt;""</f>
        <v>0</v>
      </c>
      <c r="E1703" t="s">
        <v>4951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35">
      <c r="A1704" t="s">
        <v>1924</v>
      </c>
      <c r="B1704" t="s">
        <v>3377</v>
      </c>
      <c r="D1704" t="b">
        <f>IFERROR(VLOOKUP(B1704,PatData!$A$2:$A$2000,1,),"")&lt;&gt;""</f>
        <v>0</v>
      </c>
      <c r="E1704" t="s">
        <v>3561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35">
      <c r="A1705" t="s">
        <v>1925</v>
      </c>
      <c r="B1705" t="s">
        <v>3378</v>
      </c>
      <c r="D1705" t="b">
        <f>IFERROR(VLOOKUP(B1705,PatData!$A$2:$A$2000,1,),"")&lt;&gt;""</f>
        <v>0</v>
      </c>
      <c r="E1705" t="s">
        <v>3562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35">
      <c r="A1706" t="s">
        <v>1926</v>
      </c>
      <c r="B1706" t="s">
        <v>3379</v>
      </c>
      <c r="D1706" t="b">
        <f>IFERROR(VLOOKUP(B1706,PatData!$A$2:$A$2000,1,),"")&lt;&gt;""</f>
        <v>0</v>
      </c>
      <c r="E1706" t="s">
        <v>3563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35">
      <c r="A1707" t="s">
        <v>1927</v>
      </c>
      <c r="B1707" t="s">
        <v>3380</v>
      </c>
      <c r="D1707" t="b">
        <f>IFERROR(VLOOKUP(B1707,PatData!$A$2:$A$2000,1,),"")&lt;&gt;""</f>
        <v>0</v>
      </c>
      <c r="E1707" t="s">
        <v>4952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35">
      <c r="A1708" t="s">
        <v>1928</v>
      </c>
      <c r="B1708" t="s">
        <v>3381</v>
      </c>
      <c r="D1708" t="b">
        <f>IFERROR(VLOOKUP(B1708,PatData!$A$2:$A$2000,1,),"")&lt;&gt;""</f>
        <v>0</v>
      </c>
      <c r="E1708" t="s">
        <v>4953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35">
      <c r="A1709" t="s">
        <v>1929</v>
      </c>
      <c r="B1709" t="s">
        <v>3382</v>
      </c>
      <c r="D1709" t="b">
        <f>IFERROR(VLOOKUP(B1709,PatData!$A$2:$A$2000,1,),"")&lt;&gt;""</f>
        <v>0</v>
      </c>
      <c r="E1709" t="s">
        <v>4954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35">
      <c r="A1710" t="s">
        <v>1930</v>
      </c>
      <c r="B1710" t="s">
        <v>3383</v>
      </c>
      <c r="D1710" t="b">
        <f>IFERROR(VLOOKUP(B1710,PatData!$A$2:$A$2000,1,),"")&lt;&gt;""</f>
        <v>0</v>
      </c>
      <c r="E1710" t="s">
        <v>4955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35">
      <c r="A1711" t="s">
        <v>1931</v>
      </c>
      <c r="B1711" t="s">
        <v>3384</v>
      </c>
      <c r="D1711" t="b">
        <f>IFERROR(VLOOKUP(B1711,PatData!$A$2:$A$2000,1,),"")&lt;&gt;""</f>
        <v>0</v>
      </c>
      <c r="E1711" t="s">
        <v>3564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35">
      <c r="A1712" t="s">
        <v>1932</v>
      </c>
      <c r="B1712" t="s">
        <v>3385</v>
      </c>
      <c r="D1712" t="b">
        <f>IFERROR(VLOOKUP(B1712,PatData!$A$2:$A$2000,1,),"")&lt;&gt;""</f>
        <v>0</v>
      </c>
      <c r="E1712" t="s">
        <v>3565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35">
      <c r="A1713" t="s">
        <v>1933</v>
      </c>
      <c r="B1713" t="s">
        <v>3386</v>
      </c>
      <c r="D1713" t="b">
        <f>IFERROR(VLOOKUP(B1713,PatData!$A$2:$A$2000,1,),"")&lt;&gt;""</f>
        <v>0</v>
      </c>
      <c r="E1713" t="s">
        <v>3566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35">
      <c r="A1714" t="s">
        <v>1934</v>
      </c>
      <c r="B1714" t="s">
        <v>3387</v>
      </c>
      <c r="D1714" t="b">
        <f>IFERROR(VLOOKUP(B1714,PatData!$A$2:$A$2000,1,),"")&lt;&gt;""</f>
        <v>0</v>
      </c>
      <c r="E1714" t="s">
        <v>3567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35">
      <c r="A1715" t="s">
        <v>1935</v>
      </c>
      <c r="B1715" t="s">
        <v>3388</v>
      </c>
      <c r="D1715" t="b">
        <f>IFERROR(VLOOKUP(B1715,PatData!$A$2:$A$2000,1,),"")&lt;&gt;""</f>
        <v>0</v>
      </c>
      <c r="E1715" t="s">
        <v>3568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35">
      <c r="A1716" t="s">
        <v>1936</v>
      </c>
      <c r="B1716" t="s">
        <v>3389</v>
      </c>
      <c r="D1716" t="b">
        <f>IFERROR(VLOOKUP(B1716,PatData!$A$2:$A$2000,1,),"")&lt;&gt;""</f>
        <v>0</v>
      </c>
      <c r="E1716" t="s">
        <v>4956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35">
      <c r="A1717" t="s">
        <v>1937</v>
      </c>
      <c r="B1717" t="s">
        <v>3390</v>
      </c>
      <c r="D1717" t="b">
        <f>IFERROR(VLOOKUP(B1717,PatData!$A$2:$A$2000,1,),"")&lt;&gt;""</f>
        <v>0</v>
      </c>
      <c r="E1717" t="s">
        <v>4957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35">
      <c r="A1718" t="s">
        <v>1938</v>
      </c>
      <c r="B1718" t="s">
        <v>3391</v>
      </c>
      <c r="D1718" t="b">
        <f>IFERROR(VLOOKUP(B1718,PatData!$A$2:$A$2000,1,),"")&lt;&gt;""</f>
        <v>0</v>
      </c>
      <c r="E1718" t="s">
        <v>4958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35">
      <c r="A1719" t="s">
        <v>1939</v>
      </c>
      <c r="B1719" t="s">
        <v>3392</v>
      </c>
      <c r="D1719" t="b">
        <f>IFERROR(VLOOKUP(B1719,PatData!$A$2:$A$2000,1,),"")&lt;&gt;""</f>
        <v>0</v>
      </c>
      <c r="E1719" t="s">
        <v>4959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35">
      <c r="A1720" t="s">
        <v>1940</v>
      </c>
      <c r="B1720" t="s">
        <v>3393</v>
      </c>
      <c r="D1720" t="b">
        <f>IFERROR(VLOOKUP(B1720,PatData!$A$2:$A$2000,1,),"")&lt;&gt;""</f>
        <v>0</v>
      </c>
      <c r="E1720" t="s">
        <v>4960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35">
      <c r="A1721" t="s">
        <v>1941</v>
      </c>
      <c r="B1721" t="s">
        <v>3394</v>
      </c>
      <c r="D1721" t="b">
        <f>IFERROR(VLOOKUP(B1721,PatData!$A$2:$A$2000,1,),"")&lt;&gt;""</f>
        <v>0</v>
      </c>
      <c r="E1721" t="s">
        <v>3569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35">
      <c r="A1722" t="s">
        <v>1942</v>
      </c>
      <c r="B1722" t="s">
        <v>3395</v>
      </c>
      <c r="D1722" t="b">
        <f>IFERROR(VLOOKUP(B1722,PatData!$A$2:$A$2000,1,),"")&lt;&gt;""</f>
        <v>0</v>
      </c>
      <c r="E1722" t="s">
        <v>3570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35">
      <c r="A1723" t="s">
        <v>1943</v>
      </c>
      <c r="B1723" t="s">
        <v>3396</v>
      </c>
      <c r="D1723" t="b">
        <f>IFERROR(VLOOKUP(B1723,PatData!$A$2:$A$2000,1,),"")&lt;&gt;""</f>
        <v>0</v>
      </c>
      <c r="E1723" t="s">
        <v>3571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35">
      <c r="A1724" t="s">
        <v>1944</v>
      </c>
      <c r="B1724" t="s">
        <v>3397</v>
      </c>
      <c r="D1724" t="b">
        <f>IFERROR(VLOOKUP(B1724,PatData!$A$2:$A$2000,1,),"")&lt;&gt;""</f>
        <v>0</v>
      </c>
      <c r="E1724" t="s">
        <v>4961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35">
      <c r="A1725" t="s">
        <v>1945</v>
      </c>
      <c r="B1725" t="s">
        <v>3398</v>
      </c>
      <c r="D1725" t="b">
        <f>IFERROR(VLOOKUP(B1725,PatData!$A$2:$A$2000,1,),"")&lt;&gt;""</f>
        <v>0</v>
      </c>
      <c r="E1725" t="s">
        <v>4962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35">
      <c r="A1726" t="s">
        <v>1946</v>
      </c>
      <c r="B1726" t="s">
        <v>3399</v>
      </c>
      <c r="D1726" t="b">
        <f>IFERROR(VLOOKUP(B1726,PatData!$A$2:$A$2000,1,),"")&lt;&gt;""</f>
        <v>0</v>
      </c>
      <c r="E1726" t="s">
        <v>4963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35">
      <c r="A1727" t="s">
        <v>1947</v>
      </c>
      <c r="B1727" t="s">
        <v>3400</v>
      </c>
      <c r="D1727" t="b">
        <f>IFERROR(VLOOKUP(B1727,PatData!$A$2:$A$2000,1,),"")&lt;&gt;""</f>
        <v>0</v>
      </c>
      <c r="E1727" t="s">
        <v>4964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35">
      <c r="A1728" t="s">
        <v>1948</v>
      </c>
      <c r="B1728" t="s">
        <v>3401</v>
      </c>
      <c r="D1728" t="b">
        <f>IFERROR(VLOOKUP(B1728,PatData!$A$2:$A$2000,1,),"")&lt;&gt;""</f>
        <v>0</v>
      </c>
      <c r="E1728" t="s">
        <v>4965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35">
      <c r="A1729" t="s">
        <v>2342</v>
      </c>
      <c r="B1729" t="s">
        <v>3425</v>
      </c>
      <c r="D1729" t="b">
        <f>IFERROR(VLOOKUP(B1729,PatData!$A$2:$A$2000,1,),"")&lt;&gt;""</f>
        <v>0</v>
      </c>
      <c r="E1729" t="s">
        <v>3572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35">
      <c r="A1730" t="s">
        <v>2343</v>
      </c>
      <c r="B1730" t="s">
        <v>3426</v>
      </c>
      <c r="D1730" t="b">
        <f>IFERROR(VLOOKUP(B1730,PatData!$A$2:$A$2000,1,),"")&lt;&gt;""</f>
        <v>0</v>
      </c>
      <c r="E1730" t="s">
        <v>3573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35">
      <c r="A1731" t="s">
        <v>2344</v>
      </c>
      <c r="B1731" t="s">
        <v>3427</v>
      </c>
      <c r="D1731" t="b">
        <f>IFERROR(VLOOKUP(B1731,PatData!$A$2:$A$2000,1,),"")&lt;&gt;""</f>
        <v>0</v>
      </c>
      <c r="E1731" t="s">
        <v>3574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35">
      <c r="A1732" t="s">
        <v>2345</v>
      </c>
      <c r="B1732" t="s">
        <v>3428</v>
      </c>
      <c r="D1732" t="b">
        <f>IFERROR(VLOOKUP(B1732,PatData!$A$2:$A$2000,1,),"")&lt;&gt;""</f>
        <v>0</v>
      </c>
      <c r="E1732" t="s">
        <v>3575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35">
      <c r="A1733" t="s">
        <v>2346</v>
      </c>
      <c r="B1733" t="s">
        <v>3429</v>
      </c>
      <c r="D1733" t="b">
        <f>IFERROR(VLOOKUP(B1733,PatData!$A$2:$A$2000,1,),"")&lt;&gt;""</f>
        <v>0</v>
      </c>
      <c r="E1733" t="s">
        <v>4966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35">
      <c r="A1734" t="s">
        <v>2347</v>
      </c>
      <c r="B1734" t="s">
        <v>3430</v>
      </c>
      <c r="D1734" t="b">
        <f>IFERROR(VLOOKUP(B1734,PatData!$A$2:$A$2000,1,),"")&lt;&gt;""</f>
        <v>0</v>
      </c>
      <c r="E1734" t="s">
        <v>3576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35">
      <c r="A1735" t="s">
        <v>2348</v>
      </c>
      <c r="B1735" t="s">
        <v>3431</v>
      </c>
      <c r="D1735" t="b">
        <f>IFERROR(VLOOKUP(B1735,PatData!$A$2:$A$2000,1,),"")&lt;&gt;""</f>
        <v>0</v>
      </c>
      <c r="E1735" t="s">
        <v>453</v>
      </c>
      <c r="F1735" t="b">
        <v>0</v>
      </c>
      <c r="G1735" t="b">
        <v>0</v>
      </c>
      <c r="H1735" t="b">
        <v>0</v>
      </c>
      <c r="I1735" t="b">
        <v>0</v>
      </c>
    </row>
    <row r="1736" spans="1:9" x14ac:dyDescent="0.35">
      <c r="A1736" t="s">
        <v>2349</v>
      </c>
      <c r="B1736" t="s">
        <v>3432</v>
      </c>
      <c r="D1736" t="b">
        <f>IFERROR(VLOOKUP(B1736,PatData!$A$2:$A$2000,1,),"")&lt;&gt;""</f>
        <v>0</v>
      </c>
      <c r="E1736" t="s">
        <v>3577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35">
      <c r="A1737" t="s">
        <v>2350</v>
      </c>
      <c r="B1737" t="s">
        <v>3433</v>
      </c>
      <c r="D1737" t="b">
        <f>IFERROR(VLOOKUP(B1737,PatData!$A$2:$A$2000,1,),"")&lt;&gt;""</f>
        <v>0</v>
      </c>
      <c r="E1737" t="s">
        <v>3578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35">
      <c r="A1738" t="s">
        <v>2351</v>
      </c>
      <c r="B1738" t="s">
        <v>3434</v>
      </c>
      <c r="D1738" t="b">
        <f>IFERROR(VLOOKUP(B1738,PatData!$A$2:$A$2000,1,),"")&lt;&gt;""</f>
        <v>0</v>
      </c>
      <c r="E1738" t="s">
        <v>3579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35">
      <c r="A1739" t="s">
        <v>2352</v>
      </c>
      <c r="B1739" t="s">
        <v>3435</v>
      </c>
      <c r="D1739" t="b">
        <f>IFERROR(VLOOKUP(B1739,PatData!$A$2:$A$2000,1,),"")&lt;&gt;""</f>
        <v>0</v>
      </c>
      <c r="E1739" t="s">
        <v>4967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35">
      <c r="A1740" t="s">
        <v>2353</v>
      </c>
      <c r="B1740" t="s">
        <v>3436</v>
      </c>
      <c r="D1740" t="b">
        <f>IFERROR(VLOOKUP(B1740,PatData!$A$2:$A$2000,1,),"")&lt;&gt;""</f>
        <v>0</v>
      </c>
      <c r="E1740" t="s">
        <v>4968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35">
      <c r="A1741" t="s">
        <v>2354</v>
      </c>
      <c r="B1741" t="s">
        <v>3437</v>
      </c>
      <c r="D1741" t="b">
        <f>IFERROR(VLOOKUP(B1741,PatData!$A$2:$A$2000,1,),"")&lt;&gt;""</f>
        <v>0</v>
      </c>
      <c r="E1741" t="s">
        <v>576</v>
      </c>
      <c r="F1741" t="b">
        <v>0</v>
      </c>
      <c r="G1741" t="b">
        <v>0</v>
      </c>
      <c r="H1741" t="b">
        <v>0</v>
      </c>
      <c r="I1741" t="b">
        <v>0</v>
      </c>
    </row>
    <row r="1742" spans="1:9" x14ac:dyDescent="0.35">
      <c r="A1742" t="s">
        <v>2355</v>
      </c>
      <c r="B1742" t="s">
        <v>3438</v>
      </c>
      <c r="D1742" t="b">
        <f>IFERROR(VLOOKUP(B1742,PatData!$A$2:$A$2000,1,),"")&lt;&gt;""</f>
        <v>0</v>
      </c>
      <c r="E1742" t="s">
        <v>4969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35">
      <c r="A1743" t="s">
        <v>2356</v>
      </c>
      <c r="B1743" t="s">
        <v>3439</v>
      </c>
      <c r="D1743" t="b">
        <f>IFERROR(VLOOKUP(B1743,PatData!$A$2:$A$2000,1,),"")&lt;&gt;""</f>
        <v>0</v>
      </c>
      <c r="E1743" t="s">
        <v>3580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35">
      <c r="A1744" t="s">
        <v>2357</v>
      </c>
      <c r="B1744" t="s">
        <v>3440</v>
      </c>
      <c r="D1744" t="b">
        <f>IFERROR(VLOOKUP(B1744,PatData!$A$2:$A$2000,1,),"")&lt;&gt;""</f>
        <v>0</v>
      </c>
      <c r="E1744" t="s">
        <v>454</v>
      </c>
      <c r="F1744" t="b">
        <v>0</v>
      </c>
      <c r="G1744" t="b">
        <v>0</v>
      </c>
      <c r="H1744" t="b">
        <v>0</v>
      </c>
      <c r="I1744" t="b">
        <v>0</v>
      </c>
    </row>
    <row r="1745" spans="1:9" x14ac:dyDescent="0.35">
      <c r="A1745" t="s">
        <v>2358</v>
      </c>
      <c r="B1745" t="s">
        <v>3441</v>
      </c>
      <c r="D1745" t="b">
        <f>IFERROR(VLOOKUP(B1745,PatData!$A$2:$A$2000,1,),"")&lt;&gt;""</f>
        <v>0</v>
      </c>
      <c r="E1745" t="s">
        <v>4970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35">
      <c r="A1746" t="s">
        <v>2359</v>
      </c>
      <c r="B1746" t="s">
        <v>3442</v>
      </c>
      <c r="D1746" t="b">
        <f>IFERROR(VLOOKUP(B1746,PatData!$A$2:$A$2000,1,),"")&lt;&gt;""</f>
        <v>0</v>
      </c>
      <c r="E1746" t="s">
        <v>4971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35">
      <c r="A1747" t="s">
        <v>2360</v>
      </c>
      <c r="B1747" t="s">
        <v>3443</v>
      </c>
      <c r="D1747" t="b">
        <f>IFERROR(VLOOKUP(B1747,PatData!$A$2:$A$2000,1,),"")&lt;&gt;""</f>
        <v>0</v>
      </c>
      <c r="E1747" t="s">
        <v>34</v>
      </c>
      <c r="F1747" t="b">
        <v>0</v>
      </c>
      <c r="G1747" t="b">
        <v>0</v>
      </c>
      <c r="H1747" t="b">
        <v>0</v>
      </c>
      <c r="I1747" t="b">
        <v>0</v>
      </c>
    </row>
    <row r="1748" spans="1:9" x14ac:dyDescent="0.35">
      <c r="A1748" t="s">
        <v>2361</v>
      </c>
      <c r="B1748" t="s">
        <v>3444</v>
      </c>
      <c r="D1748" t="b">
        <f>IFERROR(VLOOKUP(B1748,PatData!$A$2:$A$2000,1,),"")&lt;&gt;""</f>
        <v>0</v>
      </c>
      <c r="E1748" t="s">
        <v>4972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35">
      <c r="A1749" t="s">
        <v>2362</v>
      </c>
      <c r="B1749" t="s">
        <v>3445</v>
      </c>
      <c r="D1749" t="b">
        <f>IFERROR(VLOOKUP(B1749,PatData!$A$2:$A$2000,1,),"")&lt;&gt;""</f>
        <v>0</v>
      </c>
      <c r="E1749" t="s">
        <v>4973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35">
      <c r="A1750" t="s">
        <v>2363</v>
      </c>
      <c r="B1750" t="s">
        <v>3446</v>
      </c>
      <c r="D1750" t="b">
        <f>IFERROR(VLOOKUP(B1750,PatData!$A$2:$A$2000,1,),"")&lt;&gt;""</f>
        <v>0</v>
      </c>
      <c r="E1750" t="s">
        <v>578</v>
      </c>
      <c r="F1750" t="b">
        <v>0</v>
      </c>
      <c r="G1750" t="b">
        <v>0</v>
      </c>
      <c r="H1750" t="b">
        <v>0</v>
      </c>
      <c r="I1750" t="b">
        <v>0</v>
      </c>
    </row>
    <row r="1751" spans="1:9" x14ac:dyDescent="0.35">
      <c r="A1751" t="s">
        <v>2364</v>
      </c>
      <c r="B1751" t="s">
        <v>3447</v>
      </c>
      <c r="D1751" t="b">
        <f>IFERROR(VLOOKUP(B1751,PatData!$A$2:$A$2000,1,),"")&lt;&gt;""</f>
        <v>0</v>
      </c>
      <c r="E1751" t="s">
        <v>4974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35">
      <c r="A1752" t="s">
        <v>2365</v>
      </c>
      <c r="B1752" t="s">
        <v>3448</v>
      </c>
      <c r="D1752" t="b">
        <f>IFERROR(VLOOKUP(B1752,PatData!$A$2:$A$2000,1,),"")&lt;&gt;""</f>
        <v>0</v>
      </c>
      <c r="E1752" t="s">
        <v>3581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35">
      <c r="A1753" t="s">
        <v>2366</v>
      </c>
      <c r="B1753" t="s">
        <v>3449</v>
      </c>
      <c r="D1753" t="b">
        <f>IFERROR(VLOOKUP(B1753,PatData!$A$2:$A$2000,1,),"")&lt;&gt;""</f>
        <v>0</v>
      </c>
      <c r="E1753" t="s">
        <v>577</v>
      </c>
      <c r="F1753" t="b">
        <v>0</v>
      </c>
      <c r="G1753" t="b">
        <v>0</v>
      </c>
      <c r="H1753" t="b">
        <v>0</v>
      </c>
      <c r="I1753" t="b">
        <v>0</v>
      </c>
    </row>
    <row r="1754" spans="1:9" x14ac:dyDescent="0.35">
      <c r="A1754" t="s">
        <v>2367</v>
      </c>
      <c r="B1754" t="s">
        <v>3450</v>
      </c>
      <c r="D1754" t="b">
        <f>IFERROR(VLOOKUP(B1754,PatData!$A$2:$A$2000,1,),"")&lt;&gt;""</f>
        <v>0</v>
      </c>
      <c r="E1754" t="s">
        <v>4975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35">
      <c r="A1755" t="s">
        <v>2368</v>
      </c>
      <c r="B1755" t="s">
        <v>3451</v>
      </c>
      <c r="D1755" t="b">
        <f>IFERROR(VLOOKUP(B1755,PatData!$A$2:$A$2000,1,),"")&lt;&gt;""</f>
        <v>0</v>
      </c>
      <c r="E1755" t="s">
        <v>4976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35">
      <c r="A1756" t="s">
        <v>2369</v>
      </c>
      <c r="B1756" t="s">
        <v>3452</v>
      </c>
      <c r="D1756" t="b">
        <f>IFERROR(VLOOKUP(B1756,PatData!$A$2:$A$2000,1,),"")&lt;&gt;""</f>
        <v>0</v>
      </c>
      <c r="E1756" t="s">
        <v>357</v>
      </c>
      <c r="F1756" t="b">
        <v>0</v>
      </c>
      <c r="G1756" t="b">
        <v>0</v>
      </c>
      <c r="H1756" t="b">
        <v>0</v>
      </c>
      <c r="I1756" t="b">
        <v>0</v>
      </c>
    </row>
    <row r="1757" spans="1:9" x14ac:dyDescent="0.35">
      <c r="A1757" t="s">
        <v>2370</v>
      </c>
      <c r="B1757" t="s">
        <v>3453</v>
      </c>
      <c r="D1757" t="b">
        <f>IFERROR(VLOOKUP(B1757,PatData!$A$2:$A$2000,1,),"")&lt;&gt;""</f>
        <v>0</v>
      </c>
      <c r="E1757" t="s">
        <v>4977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35">
      <c r="A1758" t="s">
        <v>2371</v>
      </c>
      <c r="B1758" t="s">
        <v>3454</v>
      </c>
      <c r="D1758" t="b">
        <f>IFERROR(VLOOKUP(B1758,PatData!$A$2:$A$2000,1,),"")&lt;&gt;""</f>
        <v>0</v>
      </c>
      <c r="E1758" t="s">
        <v>3582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35">
      <c r="A1759" t="s">
        <v>2372</v>
      </c>
      <c r="B1759" t="s">
        <v>3455</v>
      </c>
      <c r="D1759" t="b">
        <f>IFERROR(VLOOKUP(B1759,PatData!$A$2:$A$2000,1,),"")&lt;&gt;""</f>
        <v>0</v>
      </c>
      <c r="E1759" t="s">
        <v>217</v>
      </c>
      <c r="F1759" t="b">
        <v>0</v>
      </c>
      <c r="G1759" t="b">
        <v>0</v>
      </c>
      <c r="H1759" t="b">
        <v>0</v>
      </c>
      <c r="I1759" t="b">
        <v>0</v>
      </c>
    </row>
    <row r="1760" spans="1:9" x14ac:dyDescent="0.35">
      <c r="A1760" t="s">
        <v>2373</v>
      </c>
      <c r="B1760" t="s">
        <v>3456</v>
      </c>
      <c r="D1760" t="b">
        <f>IFERROR(VLOOKUP(B1760,PatData!$A$2:$A$2000,1,),"")&lt;&gt;""</f>
        <v>0</v>
      </c>
      <c r="E1760" t="s">
        <v>3583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35">
      <c r="A1761" t="s">
        <v>2374</v>
      </c>
      <c r="B1761" t="s">
        <v>3457</v>
      </c>
      <c r="D1761" t="b">
        <f>IFERROR(VLOOKUP(B1761,PatData!$A$2:$A$2000,1,),"")&lt;&gt;""</f>
        <v>0</v>
      </c>
      <c r="E1761" t="s">
        <v>3584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35">
      <c r="A1762" t="s">
        <v>2375</v>
      </c>
      <c r="B1762" t="s">
        <v>3458</v>
      </c>
      <c r="D1762" t="b">
        <f>IFERROR(VLOOKUP(B1762,PatData!$A$2:$A$2000,1,),"")&lt;&gt;""</f>
        <v>0</v>
      </c>
      <c r="E1762" t="s">
        <v>3585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35">
      <c r="A1763" t="s">
        <v>2376</v>
      </c>
      <c r="B1763" t="s">
        <v>3459</v>
      </c>
      <c r="D1763" t="b">
        <f>IFERROR(VLOOKUP(B1763,PatData!$A$2:$A$2000,1,),"")&lt;&gt;""</f>
        <v>0</v>
      </c>
      <c r="E1763" t="s">
        <v>3586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35">
      <c r="A1764" t="s">
        <v>2377</v>
      </c>
      <c r="B1764" t="s">
        <v>3460</v>
      </c>
      <c r="D1764" t="b">
        <f>IFERROR(VLOOKUP(B1764,PatData!$A$2:$A$2000,1,),"")&lt;&gt;""</f>
        <v>0</v>
      </c>
      <c r="E1764" t="s">
        <v>3587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35">
      <c r="A1765" t="s">
        <v>2378</v>
      </c>
      <c r="B1765" t="s">
        <v>3461</v>
      </c>
      <c r="D1765" t="b">
        <f>IFERROR(VLOOKUP(B1765,PatData!$A$2:$A$2000,1,),"")&lt;&gt;""</f>
        <v>0</v>
      </c>
      <c r="E1765" t="s">
        <v>3574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35">
      <c r="A1766" t="s">
        <v>2379</v>
      </c>
      <c r="B1766" t="s">
        <v>3462</v>
      </c>
      <c r="D1766" t="b">
        <f>IFERROR(VLOOKUP(B1766,PatData!$A$2:$A$2000,1,),"")&lt;&gt;""</f>
        <v>0</v>
      </c>
      <c r="E1766" t="s">
        <v>3588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35">
      <c r="A1767" t="s">
        <v>2380</v>
      </c>
      <c r="B1767" t="s">
        <v>3463</v>
      </c>
      <c r="D1767" t="b">
        <f>IFERROR(VLOOKUP(B1767,PatData!$A$2:$A$2000,1,),"")&lt;&gt;""</f>
        <v>0</v>
      </c>
      <c r="E1767" t="s">
        <v>4978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35">
      <c r="A1768" t="s">
        <v>2381</v>
      </c>
      <c r="B1768" t="s">
        <v>3464</v>
      </c>
      <c r="D1768" t="b">
        <f>IFERROR(VLOOKUP(B1768,PatData!$A$2:$A$2000,1,),"")&lt;&gt;""</f>
        <v>0</v>
      </c>
      <c r="E1768" t="s">
        <v>3589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35">
      <c r="A1769" t="s">
        <v>2382</v>
      </c>
      <c r="B1769" t="s">
        <v>3465</v>
      </c>
      <c r="D1769" t="b">
        <f>IFERROR(VLOOKUP(B1769,PatData!$A$2:$A$2000,1,),"")&lt;&gt;""</f>
        <v>0</v>
      </c>
      <c r="E1769" t="s">
        <v>453</v>
      </c>
      <c r="F1769" t="b">
        <v>0</v>
      </c>
      <c r="G1769" t="b">
        <v>0</v>
      </c>
      <c r="H1769" t="b">
        <v>0</v>
      </c>
      <c r="I1769" t="b">
        <v>0</v>
      </c>
    </row>
    <row r="1770" spans="1:9" x14ac:dyDescent="0.35">
      <c r="A1770" t="s">
        <v>2383</v>
      </c>
      <c r="B1770" t="s">
        <v>3466</v>
      </c>
      <c r="D1770" t="b">
        <f>IFERROR(VLOOKUP(B1770,PatData!$A$2:$A$2000,1,),"")&lt;&gt;""</f>
        <v>0</v>
      </c>
      <c r="E1770" t="s">
        <v>3590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35">
      <c r="A1771" t="s">
        <v>2384</v>
      </c>
      <c r="B1771" t="s">
        <v>3467</v>
      </c>
      <c r="D1771" t="b">
        <f>IFERROR(VLOOKUP(B1771,PatData!$A$2:$A$2000,1,),"")&lt;&gt;""</f>
        <v>0</v>
      </c>
      <c r="E1771" t="s">
        <v>3591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35">
      <c r="A1772" t="s">
        <v>2385</v>
      </c>
      <c r="B1772" t="s">
        <v>3468</v>
      </c>
      <c r="D1772" t="b">
        <f>IFERROR(VLOOKUP(B1772,PatData!$A$2:$A$2000,1,),"")&lt;&gt;""</f>
        <v>0</v>
      </c>
      <c r="E1772" t="s">
        <v>3592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35">
      <c r="A1773" t="s">
        <v>2386</v>
      </c>
      <c r="B1773" t="s">
        <v>3469</v>
      </c>
      <c r="D1773" t="b">
        <f>IFERROR(VLOOKUP(B1773,PatData!$A$2:$A$2000,1,),"")&lt;&gt;""</f>
        <v>0</v>
      </c>
      <c r="E1773" t="s">
        <v>4979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35">
      <c r="A1774" t="s">
        <v>2387</v>
      </c>
      <c r="B1774" t="s">
        <v>3470</v>
      </c>
      <c r="D1774" t="b">
        <f>IFERROR(VLOOKUP(B1774,PatData!$A$2:$A$2000,1,),"")&lt;&gt;""</f>
        <v>0</v>
      </c>
      <c r="E1774" t="s">
        <v>4980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35">
      <c r="A1775" t="s">
        <v>2388</v>
      </c>
      <c r="B1775" t="s">
        <v>3471</v>
      </c>
      <c r="D1775" t="b">
        <f>IFERROR(VLOOKUP(B1775,PatData!$A$2:$A$2000,1,),"")&lt;&gt;""</f>
        <v>0</v>
      </c>
      <c r="E1775" t="s">
        <v>576</v>
      </c>
      <c r="F1775" t="b">
        <v>0</v>
      </c>
      <c r="G1775" t="b">
        <v>0</v>
      </c>
      <c r="H1775" t="b">
        <v>0</v>
      </c>
      <c r="I1775" t="b">
        <v>0</v>
      </c>
    </row>
    <row r="1776" spans="1:9" x14ac:dyDescent="0.35">
      <c r="A1776" t="s">
        <v>2389</v>
      </c>
      <c r="B1776" t="s">
        <v>3472</v>
      </c>
      <c r="D1776" t="b">
        <f>IFERROR(VLOOKUP(B1776,PatData!$A$2:$A$2000,1,),"")&lt;&gt;""</f>
        <v>0</v>
      </c>
      <c r="E1776" t="s">
        <v>4981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35">
      <c r="A1777" t="s">
        <v>2390</v>
      </c>
      <c r="B1777" t="s">
        <v>3473</v>
      </c>
      <c r="D1777" t="b">
        <f>IFERROR(VLOOKUP(B1777,PatData!$A$2:$A$2000,1,),"")&lt;&gt;""</f>
        <v>0</v>
      </c>
      <c r="E1777" t="s">
        <v>3593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35">
      <c r="A1778" t="s">
        <v>2391</v>
      </c>
      <c r="B1778" t="s">
        <v>3474</v>
      </c>
      <c r="D1778" t="b">
        <f>IFERROR(VLOOKUP(B1778,PatData!$A$2:$A$2000,1,),"")&lt;&gt;""</f>
        <v>0</v>
      </c>
      <c r="E1778" t="s">
        <v>454</v>
      </c>
      <c r="F1778" t="b">
        <v>0</v>
      </c>
      <c r="G1778" t="b">
        <v>0</v>
      </c>
      <c r="H1778" t="b">
        <v>0</v>
      </c>
      <c r="I1778" t="b">
        <v>0</v>
      </c>
    </row>
    <row r="1779" spans="1:9" x14ac:dyDescent="0.35">
      <c r="A1779" t="s">
        <v>2392</v>
      </c>
      <c r="B1779" t="s">
        <v>3475</v>
      </c>
      <c r="D1779" t="b">
        <f>IFERROR(VLOOKUP(B1779,PatData!$A$2:$A$2000,1,),"")&lt;&gt;""</f>
        <v>0</v>
      </c>
      <c r="E1779" t="s">
        <v>4982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35">
      <c r="A1780" t="s">
        <v>2393</v>
      </c>
      <c r="B1780" t="s">
        <v>3476</v>
      </c>
      <c r="D1780" t="b">
        <f>IFERROR(VLOOKUP(B1780,PatData!$A$2:$A$2000,1,),"")&lt;&gt;""</f>
        <v>0</v>
      </c>
      <c r="E1780" t="s">
        <v>4983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35">
      <c r="A1781" t="s">
        <v>2394</v>
      </c>
      <c r="B1781" t="s">
        <v>3477</v>
      </c>
      <c r="D1781" t="b">
        <f>IFERROR(VLOOKUP(B1781,PatData!$A$2:$A$2000,1,),"")&lt;&gt;""</f>
        <v>0</v>
      </c>
      <c r="E1781" t="s">
        <v>34</v>
      </c>
      <c r="F1781" t="b">
        <v>0</v>
      </c>
      <c r="G1781" t="b">
        <v>0</v>
      </c>
      <c r="H1781" t="b">
        <v>0</v>
      </c>
      <c r="I1781" t="b">
        <v>0</v>
      </c>
    </row>
    <row r="1782" spans="1:9" x14ac:dyDescent="0.35">
      <c r="A1782" t="s">
        <v>2395</v>
      </c>
      <c r="B1782" t="s">
        <v>3478</v>
      </c>
      <c r="D1782" t="b">
        <f>IFERROR(VLOOKUP(B1782,PatData!$A$2:$A$2000,1,),"")&lt;&gt;""</f>
        <v>0</v>
      </c>
      <c r="E1782" t="s">
        <v>4984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35">
      <c r="A1783" t="s">
        <v>2396</v>
      </c>
      <c r="B1783" t="s">
        <v>3479</v>
      </c>
      <c r="D1783" t="b">
        <f>IFERROR(VLOOKUP(B1783,PatData!$A$2:$A$2000,1,),"")&lt;&gt;""</f>
        <v>0</v>
      </c>
      <c r="E1783" t="s">
        <v>4985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35">
      <c r="A1784" t="s">
        <v>2397</v>
      </c>
      <c r="B1784" t="s">
        <v>3480</v>
      </c>
      <c r="D1784" t="b">
        <f>IFERROR(VLOOKUP(B1784,PatData!$A$2:$A$2000,1,),"")&lt;&gt;""</f>
        <v>0</v>
      </c>
      <c r="E1784" t="s">
        <v>578</v>
      </c>
      <c r="F1784" t="b">
        <v>0</v>
      </c>
      <c r="G1784" t="b">
        <v>0</v>
      </c>
      <c r="H1784" t="b">
        <v>0</v>
      </c>
      <c r="I1784" t="b">
        <v>0</v>
      </c>
    </row>
    <row r="1785" spans="1:9" x14ac:dyDescent="0.35">
      <c r="A1785" t="s">
        <v>2398</v>
      </c>
      <c r="B1785" t="s">
        <v>3481</v>
      </c>
      <c r="D1785" t="b">
        <f>IFERROR(VLOOKUP(B1785,PatData!$A$2:$A$2000,1,),"")&lt;&gt;""</f>
        <v>0</v>
      </c>
      <c r="E1785" t="s">
        <v>4986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35">
      <c r="A1786" t="s">
        <v>2399</v>
      </c>
      <c r="B1786" t="s">
        <v>3482</v>
      </c>
      <c r="D1786" t="b">
        <f>IFERROR(VLOOKUP(B1786,PatData!$A$2:$A$2000,1,),"")&lt;&gt;""</f>
        <v>0</v>
      </c>
      <c r="E1786" t="s">
        <v>3594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35">
      <c r="A1787" t="s">
        <v>2400</v>
      </c>
      <c r="B1787" t="s">
        <v>3483</v>
      </c>
      <c r="D1787" t="b">
        <f>IFERROR(VLOOKUP(B1787,PatData!$A$2:$A$2000,1,),"")&lt;&gt;""</f>
        <v>0</v>
      </c>
      <c r="E1787" t="s">
        <v>577</v>
      </c>
      <c r="F1787" t="b">
        <v>0</v>
      </c>
      <c r="G1787" t="b">
        <v>0</v>
      </c>
      <c r="H1787" t="b">
        <v>0</v>
      </c>
      <c r="I1787" t="b">
        <v>0</v>
      </c>
    </row>
    <row r="1788" spans="1:9" x14ac:dyDescent="0.35">
      <c r="A1788" t="s">
        <v>2401</v>
      </c>
      <c r="B1788" t="s">
        <v>3484</v>
      </c>
      <c r="D1788" t="b">
        <f>IFERROR(VLOOKUP(B1788,PatData!$A$2:$A$2000,1,),"")&lt;&gt;""</f>
        <v>0</v>
      </c>
      <c r="E1788" t="s">
        <v>4987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35">
      <c r="A1789" t="s">
        <v>2402</v>
      </c>
      <c r="B1789" t="s">
        <v>3485</v>
      </c>
      <c r="D1789" t="b">
        <f>IFERROR(VLOOKUP(B1789,PatData!$A$2:$A$2000,1,),"")&lt;&gt;""</f>
        <v>0</v>
      </c>
      <c r="E1789" t="s">
        <v>4988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35">
      <c r="A1790" t="s">
        <v>2403</v>
      </c>
      <c r="B1790" t="s">
        <v>3486</v>
      </c>
      <c r="D1790" t="b">
        <f>IFERROR(VLOOKUP(B1790,PatData!$A$2:$A$2000,1,),"")&lt;&gt;""</f>
        <v>0</v>
      </c>
      <c r="E1790" t="s">
        <v>357</v>
      </c>
      <c r="F1790" t="b">
        <v>0</v>
      </c>
      <c r="G1790" t="b">
        <v>0</v>
      </c>
      <c r="H1790" t="b">
        <v>0</v>
      </c>
      <c r="I1790" t="b">
        <v>0</v>
      </c>
    </row>
    <row r="1791" spans="1:9" x14ac:dyDescent="0.35">
      <c r="A1791" t="s">
        <v>2404</v>
      </c>
      <c r="B1791" t="s">
        <v>3487</v>
      </c>
      <c r="D1791" t="b">
        <f>IFERROR(VLOOKUP(B1791,PatData!$A$2:$A$2000,1,),"")&lt;&gt;""</f>
        <v>0</v>
      </c>
      <c r="E1791" t="s">
        <v>4989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35">
      <c r="A1792" t="s">
        <v>2405</v>
      </c>
      <c r="B1792" t="s">
        <v>3488</v>
      </c>
      <c r="D1792" t="b">
        <f>IFERROR(VLOOKUP(B1792,PatData!$A$2:$A$2000,1,),"")&lt;&gt;""</f>
        <v>0</v>
      </c>
      <c r="E1792" t="s">
        <v>3595</v>
      </c>
      <c r="F1792" t="b">
        <v>1</v>
      </c>
      <c r="G1792" t="b">
        <v>0</v>
      </c>
      <c r="H1792" t="b">
        <v>0</v>
      </c>
      <c r="I1792" t="b">
        <v>0</v>
      </c>
    </row>
    <row r="1793" spans="1:9" x14ac:dyDescent="0.35">
      <c r="A1793" t="s">
        <v>2406</v>
      </c>
      <c r="B1793" t="s">
        <v>3489</v>
      </c>
      <c r="D1793" t="b">
        <f>IFERROR(VLOOKUP(B1793,PatData!$A$2:$A$2000,1,),"")&lt;&gt;""</f>
        <v>0</v>
      </c>
      <c r="E1793" t="s">
        <v>217</v>
      </c>
      <c r="F1793" t="b">
        <v>0</v>
      </c>
      <c r="G1793" t="b">
        <v>0</v>
      </c>
      <c r="H1793" t="b">
        <v>0</v>
      </c>
      <c r="I1793" t="b">
        <v>0</v>
      </c>
    </row>
    <row r="1794" spans="1:9" x14ac:dyDescent="0.35">
      <c r="A1794" t="s">
        <v>2407</v>
      </c>
      <c r="B1794" t="s">
        <v>3490</v>
      </c>
      <c r="D1794" t="b">
        <f>IFERROR(VLOOKUP(B1794,PatData!$A$2:$A$2000,1,),"")&lt;&gt;""</f>
        <v>0</v>
      </c>
      <c r="E1794" t="s">
        <v>3583</v>
      </c>
      <c r="F1794" t="b">
        <v>1</v>
      </c>
      <c r="G1794" t="b">
        <v>0</v>
      </c>
      <c r="H1794" t="b">
        <v>0</v>
      </c>
      <c r="I1794" t="b">
        <v>0</v>
      </c>
    </row>
    <row r="1795" spans="1:9" x14ac:dyDescent="0.35">
      <c r="A1795" t="s">
        <v>2408</v>
      </c>
      <c r="B1795" t="s">
        <v>3491</v>
      </c>
      <c r="D1795" t="b">
        <f>IFERROR(VLOOKUP(B1795,PatData!$A$2:$A$2000,1,),"")&lt;&gt;""</f>
        <v>0</v>
      </c>
      <c r="E1795" t="s">
        <v>3596</v>
      </c>
      <c r="F1795" t="b">
        <v>1</v>
      </c>
      <c r="G1795" t="b">
        <v>0</v>
      </c>
      <c r="H1795" t="b">
        <v>0</v>
      </c>
      <c r="I1795" t="b">
        <v>0</v>
      </c>
    </row>
    <row r="1796" spans="1:9" x14ac:dyDescent="0.35">
      <c r="A1796" t="s">
        <v>2409</v>
      </c>
      <c r="B1796" t="s">
        <v>3492</v>
      </c>
      <c r="D1796" t="b">
        <f>IFERROR(VLOOKUP(B1796,PatData!$A$2:$A$2000,1,),"")&lt;&gt;""</f>
        <v>0</v>
      </c>
      <c r="E1796" t="s">
        <v>3585</v>
      </c>
      <c r="F1796" t="b">
        <v>1</v>
      </c>
      <c r="G1796" t="b">
        <v>0</v>
      </c>
      <c r="H1796" t="b">
        <v>0</v>
      </c>
      <c r="I1796" t="b">
        <v>0</v>
      </c>
    </row>
    <row r="1797" spans="1:9" x14ac:dyDescent="0.35">
      <c r="A1797" t="s">
        <v>2601</v>
      </c>
      <c r="B1797" t="s">
        <v>3405</v>
      </c>
      <c r="D1797" t="b">
        <f>IFERROR(VLOOKUP(B1797,PatData!$A$2:$A$2000,1,),"")&lt;&gt;""</f>
        <v>0</v>
      </c>
      <c r="E1797" t="s">
        <v>3597</v>
      </c>
      <c r="F1797" t="b">
        <v>1</v>
      </c>
      <c r="G1797" t="b">
        <v>0</v>
      </c>
      <c r="H1797" t="b">
        <v>0</v>
      </c>
      <c r="I1797" t="b">
        <v>0</v>
      </c>
    </row>
    <row r="1798" spans="1:9" x14ac:dyDescent="0.35">
      <c r="A1798" t="s">
        <v>2602</v>
      </c>
      <c r="B1798" t="s">
        <v>3406</v>
      </c>
      <c r="D1798" t="b">
        <f>IFERROR(VLOOKUP(B1798,PatData!$A$2:$A$2000,1,),"")&lt;&gt;""</f>
        <v>0</v>
      </c>
      <c r="E1798" t="s">
        <v>3598</v>
      </c>
      <c r="F1798" t="b">
        <v>1</v>
      </c>
      <c r="G1798" t="b">
        <v>0</v>
      </c>
      <c r="H1798" t="b">
        <v>0</v>
      </c>
      <c r="I1798" t="b">
        <v>0</v>
      </c>
    </row>
    <row r="1799" spans="1:9" x14ac:dyDescent="0.35">
      <c r="A1799" t="s">
        <v>2603</v>
      </c>
      <c r="B1799" t="s">
        <v>3407</v>
      </c>
      <c r="D1799" t="b">
        <f>IFERROR(VLOOKUP(B1799,PatData!$A$2:$A$2000,1,),"")&lt;&gt;""</f>
        <v>0</v>
      </c>
      <c r="E1799" t="s">
        <v>3599</v>
      </c>
      <c r="F1799" t="b">
        <v>1</v>
      </c>
      <c r="G1799" t="b">
        <v>0</v>
      </c>
      <c r="H1799" t="b">
        <v>0</v>
      </c>
      <c r="I1799" t="b">
        <v>0</v>
      </c>
    </row>
    <row r="1800" spans="1:9" x14ac:dyDescent="0.35">
      <c r="A1800" t="s">
        <v>2604</v>
      </c>
      <c r="B1800" t="s">
        <v>3408</v>
      </c>
      <c r="D1800" t="b">
        <f>IFERROR(VLOOKUP(B1800,PatData!$A$2:$A$2000,1,),"")&lt;&gt;""</f>
        <v>0</v>
      </c>
      <c r="E1800" t="s">
        <v>3600</v>
      </c>
      <c r="F1800" t="b">
        <v>1</v>
      </c>
      <c r="G1800" t="b">
        <v>0</v>
      </c>
      <c r="H1800" t="b">
        <v>0</v>
      </c>
      <c r="I1800" t="b">
        <v>0</v>
      </c>
    </row>
    <row r="1801" spans="1:9" x14ac:dyDescent="0.35">
      <c r="A1801" t="s">
        <v>3026</v>
      </c>
      <c r="B1801" t="s">
        <v>3299</v>
      </c>
      <c r="D1801" t="b">
        <f>IFERROR(VLOOKUP(B1801,PatData!$A$2:$A$2000,1,),"")&lt;&gt;""</f>
        <v>0</v>
      </c>
      <c r="E1801" t="s">
        <v>3601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35">
      <c r="A1802" t="s">
        <v>1320</v>
      </c>
      <c r="B1802" t="s">
        <v>1290</v>
      </c>
      <c r="D1802" t="b">
        <f>IFERROR(VLOOKUP(B1802,PatData!$A$2:$A$2000,1,),"")&lt;&gt;""</f>
        <v>0</v>
      </c>
      <c r="E1802" t="s">
        <v>3601</v>
      </c>
      <c r="F1802" t="b">
        <v>1</v>
      </c>
      <c r="G1802" t="b">
        <v>0</v>
      </c>
      <c r="H1802" t="b">
        <v>0</v>
      </c>
      <c r="I1802" t="b">
        <v>0</v>
      </c>
    </row>
    <row r="1803" spans="1:9" x14ac:dyDescent="0.35">
      <c r="A1803" t="s">
        <v>4990</v>
      </c>
      <c r="B1803" t="s">
        <v>1291</v>
      </c>
      <c r="D1803" t="b">
        <f>IFERROR(VLOOKUP(B1803,PatData!$A$2:$A$2000,1,),"")&lt;&gt;""</f>
        <v>0</v>
      </c>
      <c r="E1803" t="s">
        <v>3601</v>
      </c>
      <c r="F1803" t="b">
        <v>1</v>
      </c>
      <c r="G1803" t="b">
        <v>0</v>
      </c>
      <c r="H1803" t="b">
        <v>0</v>
      </c>
      <c r="I1803" t="b">
        <v>0</v>
      </c>
    </row>
    <row r="1804" spans="1:9" x14ac:dyDescent="0.35">
      <c r="A1804" t="s">
        <v>2957</v>
      </c>
      <c r="B1804" t="s">
        <v>1292</v>
      </c>
      <c r="D1804" t="b">
        <f>IFERROR(VLOOKUP(B1804,PatData!$A$2:$A$2000,1,),"")&lt;&gt;""</f>
        <v>0</v>
      </c>
      <c r="E1804" t="s">
        <v>3601</v>
      </c>
      <c r="F1804" t="b">
        <v>1</v>
      </c>
      <c r="G1804" t="b">
        <v>0</v>
      </c>
      <c r="H1804" t="b">
        <v>0</v>
      </c>
      <c r="I1804" t="b">
        <v>0</v>
      </c>
    </row>
    <row r="1805" spans="1:9" x14ac:dyDescent="0.35">
      <c r="A1805" t="s">
        <v>2960</v>
      </c>
      <c r="B1805" t="s">
        <v>1293</v>
      </c>
      <c r="D1805" t="b">
        <f>IFERROR(VLOOKUP(B1805,PatData!$A$2:$A$2000,1,),"")&lt;&gt;""</f>
        <v>0</v>
      </c>
      <c r="E1805" t="s">
        <v>3601</v>
      </c>
      <c r="F1805" t="b">
        <v>1</v>
      </c>
      <c r="G1805" t="b">
        <v>0</v>
      </c>
      <c r="H1805" t="b">
        <v>0</v>
      </c>
      <c r="I1805" t="b">
        <v>0</v>
      </c>
    </row>
    <row r="1806" spans="1:9" x14ac:dyDescent="0.35">
      <c r="A1806" t="s">
        <v>2962</v>
      </c>
      <c r="B1806" t="s">
        <v>1294</v>
      </c>
      <c r="D1806" t="b">
        <f>IFERROR(VLOOKUP(B1806,PatData!$A$2:$A$2000,1,),"")&lt;&gt;""</f>
        <v>0</v>
      </c>
      <c r="E1806" t="s">
        <v>3601</v>
      </c>
      <c r="F1806" t="b">
        <v>1</v>
      </c>
      <c r="G1806" t="b">
        <v>0</v>
      </c>
      <c r="H1806" t="b">
        <v>0</v>
      </c>
      <c r="I1806" t="b">
        <v>0</v>
      </c>
    </row>
    <row r="1807" spans="1:9" x14ac:dyDescent="0.35">
      <c r="A1807" t="s">
        <v>2963</v>
      </c>
      <c r="B1807" t="s">
        <v>1295</v>
      </c>
      <c r="D1807" t="b">
        <f>IFERROR(VLOOKUP(B1807,PatData!$A$2:$A$2000,1,),"")&lt;&gt;""</f>
        <v>0</v>
      </c>
      <c r="E1807" t="s">
        <v>3601</v>
      </c>
      <c r="F1807" t="b">
        <v>1</v>
      </c>
      <c r="G1807" t="b">
        <v>0</v>
      </c>
      <c r="H1807" t="b">
        <v>0</v>
      </c>
      <c r="I1807" t="b">
        <v>0</v>
      </c>
    </row>
    <row r="1808" spans="1:9" x14ac:dyDescent="0.35">
      <c r="A1808" t="s">
        <v>2964</v>
      </c>
      <c r="B1808" t="s">
        <v>1296</v>
      </c>
      <c r="D1808" t="b">
        <f>IFERROR(VLOOKUP(B1808,PatData!$A$2:$A$2000,1,),"")&lt;&gt;""</f>
        <v>0</v>
      </c>
      <c r="E1808" t="s">
        <v>3601</v>
      </c>
      <c r="F1808" t="b">
        <v>1</v>
      </c>
      <c r="G1808" t="b">
        <v>0</v>
      </c>
      <c r="H1808" t="b">
        <v>0</v>
      </c>
      <c r="I1808" t="b">
        <v>0</v>
      </c>
    </row>
    <row r="1809" spans="1:9" x14ac:dyDescent="0.35">
      <c r="A1809" t="s">
        <v>2965</v>
      </c>
      <c r="B1809" t="s">
        <v>1297</v>
      </c>
      <c r="D1809" t="b">
        <f>IFERROR(VLOOKUP(B1809,PatData!$A$2:$A$2000,1,),"")&lt;&gt;""</f>
        <v>0</v>
      </c>
      <c r="E1809" t="s">
        <v>3601</v>
      </c>
      <c r="F1809" t="b">
        <v>1</v>
      </c>
      <c r="G1809" t="b">
        <v>0</v>
      </c>
      <c r="H1809" t="b">
        <v>0</v>
      </c>
      <c r="I1809" t="b">
        <v>0</v>
      </c>
    </row>
    <row r="1810" spans="1:9" x14ac:dyDescent="0.35">
      <c r="A1810" t="s">
        <v>2966</v>
      </c>
      <c r="B1810" t="s">
        <v>1298</v>
      </c>
      <c r="D1810" t="b">
        <f>IFERROR(VLOOKUP(B1810,PatData!$A$2:$A$2000,1,),"")&lt;&gt;""</f>
        <v>0</v>
      </c>
      <c r="E1810" t="s">
        <v>3601</v>
      </c>
      <c r="F1810" t="b">
        <v>1</v>
      </c>
      <c r="G1810" t="b">
        <v>0</v>
      </c>
      <c r="H1810" t="b">
        <v>0</v>
      </c>
      <c r="I1810" t="b">
        <v>0</v>
      </c>
    </row>
    <row r="1811" spans="1:9" x14ac:dyDescent="0.35">
      <c r="A1811" t="s">
        <v>2967</v>
      </c>
      <c r="B1811" t="s">
        <v>1299</v>
      </c>
      <c r="D1811" t="b">
        <f>IFERROR(VLOOKUP(B1811,PatData!$A$2:$A$2000,1,),"")&lt;&gt;""</f>
        <v>0</v>
      </c>
      <c r="E1811" t="s">
        <v>3601</v>
      </c>
      <c r="F1811" t="b">
        <v>1</v>
      </c>
      <c r="G1811" t="b">
        <v>0</v>
      </c>
      <c r="H1811" t="b">
        <v>0</v>
      </c>
      <c r="I1811" t="b">
        <v>0</v>
      </c>
    </row>
    <row r="1812" spans="1:9" x14ac:dyDescent="0.35">
      <c r="A1812" t="s">
        <v>2968</v>
      </c>
      <c r="B1812" t="s">
        <v>1300</v>
      </c>
      <c r="D1812" t="b">
        <f>IFERROR(VLOOKUP(B1812,PatData!$A$2:$A$2000,1,),"")&lt;&gt;""</f>
        <v>0</v>
      </c>
      <c r="E1812" t="s">
        <v>3601</v>
      </c>
      <c r="F1812" t="b">
        <v>1</v>
      </c>
      <c r="G1812" t="b">
        <v>0</v>
      </c>
      <c r="H1812" t="b">
        <v>0</v>
      </c>
      <c r="I1812" t="b">
        <v>0</v>
      </c>
    </row>
    <row r="1813" spans="1:9" x14ac:dyDescent="0.35">
      <c r="A1813" t="s">
        <v>2969</v>
      </c>
      <c r="B1813" t="s">
        <v>1301</v>
      </c>
      <c r="D1813" t="b">
        <f>IFERROR(VLOOKUP(B1813,PatData!$A$2:$A$2000,1,),"")&lt;&gt;""</f>
        <v>0</v>
      </c>
      <c r="E1813" t="s">
        <v>3601</v>
      </c>
      <c r="F1813" t="b">
        <v>1</v>
      </c>
      <c r="G1813" t="b">
        <v>0</v>
      </c>
      <c r="H1813" t="b">
        <v>0</v>
      </c>
      <c r="I1813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D36"/>
  <sheetViews>
    <sheetView workbookViewId="0">
      <selection activeCell="F11" sqref="F11"/>
    </sheetView>
  </sheetViews>
  <sheetFormatPr defaultRowHeight="12.85" x14ac:dyDescent="0.35"/>
  <cols>
    <col min="1" max="1" width="11.73046875" customWidth="1"/>
    <col min="2" max="2" width="37.73046875" customWidth="1"/>
    <col min="3" max="3" width="13.265625" customWidth="1"/>
  </cols>
  <sheetData>
    <row r="1" spans="1:4" x14ac:dyDescent="0.35">
      <c r="A1" s="577" t="s">
        <v>265</v>
      </c>
      <c r="B1" t="s">
        <v>88</v>
      </c>
      <c r="C1" t="s">
        <v>266</v>
      </c>
    </row>
    <row r="2" spans="1:4" x14ac:dyDescent="0.35">
      <c r="A2" t="s">
        <v>267</v>
      </c>
      <c r="B2" t="s">
        <v>114</v>
      </c>
    </row>
    <row r="3" spans="1:4" x14ac:dyDescent="0.35">
      <c r="A3" t="s">
        <v>267</v>
      </c>
      <c r="B3" t="s">
        <v>69</v>
      </c>
    </row>
    <row r="4" spans="1:4" x14ac:dyDescent="0.35">
      <c r="A4" t="s">
        <v>267</v>
      </c>
      <c r="B4" t="s">
        <v>70</v>
      </c>
    </row>
    <row r="5" spans="1:4" x14ac:dyDescent="0.35">
      <c r="A5" t="s">
        <v>267</v>
      </c>
      <c r="B5" t="s">
        <v>128</v>
      </c>
      <c r="C5" s="25"/>
    </row>
    <row r="6" spans="1:4" x14ac:dyDescent="0.35">
      <c r="A6" t="s">
        <v>267</v>
      </c>
      <c r="B6" t="s">
        <v>161</v>
      </c>
    </row>
    <row r="7" spans="1:4" x14ac:dyDescent="0.35">
      <c r="A7" t="s">
        <v>115</v>
      </c>
      <c r="B7" t="s">
        <v>116</v>
      </c>
      <c r="C7" s="517"/>
    </row>
    <row r="8" spans="1:4" x14ac:dyDescent="0.35">
      <c r="A8" t="s">
        <v>115</v>
      </c>
      <c r="B8" t="s">
        <v>116</v>
      </c>
      <c r="C8" s="517"/>
    </row>
    <row r="9" spans="1:4" x14ac:dyDescent="0.35">
      <c r="A9" t="s">
        <v>115</v>
      </c>
      <c r="B9" t="s">
        <v>116</v>
      </c>
      <c r="C9" s="517"/>
      <c r="D9" s="517"/>
    </row>
    <row r="10" spans="1:4" x14ac:dyDescent="0.35">
      <c r="A10" t="s">
        <v>115</v>
      </c>
      <c r="B10" t="s">
        <v>116</v>
      </c>
      <c r="C10" s="517"/>
      <c r="D10" s="517"/>
    </row>
    <row r="11" spans="1:4" x14ac:dyDescent="0.35">
      <c r="A11" t="s">
        <v>115</v>
      </c>
      <c r="B11" t="s">
        <v>116</v>
      </c>
      <c r="C11" s="517"/>
      <c r="D11" s="517"/>
    </row>
    <row r="12" spans="1:4" x14ac:dyDescent="0.35">
      <c r="A12" t="s">
        <v>115</v>
      </c>
      <c r="B12" t="s">
        <v>116</v>
      </c>
      <c r="C12" s="517"/>
      <c r="D12" s="517"/>
    </row>
    <row r="13" spans="1:4" x14ac:dyDescent="0.35">
      <c r="A13" t="s">
        <v>115</v>
      </c>
      <c r="B13" t="s">
        <v>116</v>
      </c>
      <c r="C13" s="517"/>
      <c r="D13" s="517"/>
    </row>
    <row r="14" spans="1:4" x14ac:dyDescent="0.35">
      <c r="A14" t="s">
        <v>115</v>
      </c>
      <c r="B14" t="s">
        <v>116</v>
      </c>
      <c r="C14" s="517"/>
      <c r="D14" s="517"/>
    </row>
    <row r="15" spans="1:4" x14ac:dyDescent="0.35">
      <c r="A15" t="s">
        <v>115</v>
      </c>
      <c r="B15" t="s">
        <v>116</v>
      </c>
      <c r="C15" s="517"/>
      <c r="D15" s="517"/>
    </row>
    <row r="16" spans="1:4" x14ac:dyDescent="0.35">
      <c r="A16" t="s">
        <v>115</v>
      </c>
      <c r="B16" t="s">
        <v>116</v>
      </c>
      <c r="C16" s="517"/>
      <c r="D16" s="517"/>
    </row>
    <row r="17" spans="1:4" x14ac:dyDescent="0.35">
      <c r="A17" t="s">
        <v>115</v>
      </c>
      <c r="B17" t="s">
        <v>116</v>
      </c>
      <c r="C17" s="517"/>
      <c r="D17" s="517"/>
    </row>
    <row r="18" spans="1:4" x14ac:dyDescent="0.35">
      <c r="A18" t="s">
        <v>115</v>
      </c>
      <c r="B18" t="s">
        <v>116</v>
      </c>
      <c r="C18" s="517"/>
      <c r="D18" s="517"/>
    </row>
    <row r="19" spans="1:4" x14ac:dyDescent="0.35">
      <c r="A19" t="s">
        <v>115</v>
      </c>
      <c r="B19" t="s">
        <v>116</v>
      </c>
      <c r="C19" s="517"/>
      <c r="D19" s="517"/>
    </row>
    <row r="20" spans="1:4" x14ac:dyDescent="0.35">
      <c r="A20" t="s">
        <v>115</v>
      </c>
      <c r="B20" t="s">
        <v>116</v>
      </c>
      <c r="C20" s="517"/>
      <c r="D20" s="517"/>
    </row>
    <row r="21" spans="1:4" x14ac:dyDescent="0.35">
      <c r="A21" t="s">
        <v>115</v>
      </c>
      <c r="B21" t="s">
        <v>116</v>
      </c>
      <c r="C21" s="517"/>
      <c r="D21" s="517"/>
    </row>
    <row r="22" spans="1:4" x14ac:dyDescent="0.35">
      <c r="A22" t="s">
        <v>115</v>
      </c>
      <c r="B22" t="s">
        <v>116</v>
      </c>
      <c r="C22" s="517"/>
      <c r="D22" s="517"/>
    </row>
    <row r="23" spans="1:4" x14ac:dyDescent="0.35">
      <c r="A23" t="s">
        <v>115</v>
      </c>
      <c r="B23" t="s">
        <v>116</v>
      </c>
      <c r="C23" s="517"/>
      <c r="D23" s="517"/>
    </row>
    <row r="24" spans="1:4" x14ac:dyDescent="0.35">
      <c r="A24" t="s">
        <v>115</v>
      </c>
      <c r="B24" t="s">
        <v>116</v>
      </c>
      <c r="C24" s="517"/>
      <c r="D24" s="517"/>
    </row>
    <row r="25" spans="1:4" x14ac:dyDescent="0.35">
      <c r="A25" t="s">
        <v>115</v>
      </c>
      <c r="B25" t="s">
        <v>116</v>
      </c>
      <c r="C25" s="517"/>
      <c r="D25" s="517"/>
    </row>
    <row r="26" spans="1:4" x14ac:dyDescent="0.35">
      <c r="A26" t="s">
        <v>115</v>
      </c>
      <c r="B26" t="s">
        <v>116</v>
      </c>
      <c r="C26" s="517"/>
      <c r="D26" s="517"/>
    </row>
    <row r="27" spans="1:4" x14ac:dyDescent="0.35">
      <c r="A27" s="517" t="s">
        <v>115</v>
      </c>
      <c r="B27" s="517" t="s">
        <v>116</v>
      </c>
      <c r="C27" s="517"/>
    </row>
    <row r="28" spans="1:4" x14ac:dyDescent="0.35">
      <c r="A28" s="517" t="s">
        <v>115</v>
      </c>
      <c r="B28" s="517" t="s">
        <v>116</v>
      </c>
      <c r="C28" s="517"/>
      <c r="D28" s="517"/>
    </row>
    <row r="29" spans="1:4" x14ac:dyDescent="0.35">
      <c r="A29" s="517" t="s">
        <v>115</v>
      </c>
      <c r="B29" s="517" t="s">
        <v>116</v>
      </c>
      <c r="C29" s="517"/>
      <c r="D29" s="517"/>
    </row>
    <row r="30" spans="1:4" x14ac:dyDescent="0.35">
      <c r="A30" s="517" t="s">
        <v>115</v>
      </c>
      <c r="B30" s="517" t="s">
        <v>116</v>
      </c>
      <c r="C30" s="517"/>
      <c r="D30" s="517"/>
    </row>
    <row r="31" spans="1:4" x14ac:dyDescent="0.35">
      <c r="A31" s="517" t="s">
        <v>115</v>
      </c>
      <c r="B31" s="517" t="s">
        <v>116</v>
      </c>
      <c r="C31" s="517"/>
      <c r="D31" s="517"/>
    </row>
    <row r="32" spans="1:4" x14ac:dyDescent="0.35">
      <c r="A32" s="517" t="s">
        <v>115</v>
      </c>
      <c r="B32" s="517" t="s">
        <v>116</v>
      </c>
      <c r="C32" s="517"/>
      <c r="D32" s="517"/>
    </row>
    <row r="33" spans="1:4" x14ac:dyDescent="0.35">
      <c r="A33" s="517" t="s">
        <v>115</v>
      </c>
      <c r="B33" s="517" t="s">
        <v>116</v>
      </c>
      <c r="C33" s="517"/>
      <c r="D33" s="517"/>
    </row>
    <row r="34" spans="1:4" x14ac:dyDescent="0.35">
      <c r="A34" s="517" t="s">
        <v>115</v>
      </c>
      <c r="B34" s="517" t="s">
        <v>116</v>
      </c>
      <c r="C34" s="517"/>
      <c r="D34" s="517"/>
    </row>
    <row r="35" spans="1:4" x14ac:dyDescent="0.35">
      <c r="A35" s="517" t="s">
        <v>115</v>
      </c>
      <c r="B35" s="517" t="s">
        <v>116</v>
      </c>
      <c r="C35" s="517"/>
      <c r="D35" s="517"/>
    </row>
    <row r="36" spans="1:4" x14ac:dyDescent="0.35">
      <c r="A36" s="517" t="s">
        <v>115</v>
      </c>
      <c r="B36" s="517" t="s">
        <v>116</v>
      </c>
      <c r="C36" s="517"/>
      <c r="D36" s="517"/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20"/>
  <sheetViews>
    <sheetView workbookViewId="0">
      <selection activeCell="C16" sqref="C16:D16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1:8" x14ac:dyDescent="0.35">
      <c r="A1" s="577"/>
      <c r="D1" t="s">
        <v>61</v>
      </c>
      <c r="E1" s="1" t="s">
        <v>166</v>
      </c>
    </row>
    <row r="2" spans="1:8" x14ac:dyDescent="0.35">
      <c r="D2" t="s">
        <v>37</v>
      </c>
    </row>
    <row r="4" spans="1:8" x14ac:dyDescent="0.35">
      <c r="C4" s="6"/>
      <c r="D4" s="44" t="s">
        <v>248</v>
      </c>
      <c r="E4" s="44">
        <v>4.3478000000000003E-2</v>
      </c>
      <c r="H4" s="44"/>
    </row>
    <row r="5" spans="1:8" x14ac:dyDescent="0.35">
      <c r="C5" s="6"/>
      <c r="D5" s="44" t="s">
        <v>249</v>
      </c>
      <c r="E5" s="44">
        <v>2.5641000000000001E-2</v>
      </c>
      <c r="H5" s="44"/>
    </row>
    <row r="6" spans="1:8" x14ac:dyDescent="0.35">
      <c r="A6" s="577"/>
      <c r="D6" s="44" t="s">
        <v>250</v>
      </c>
      <c r="E6" s="44">
        <v>2.5000000000000001E-2</v>
      </c>
      <c r="H6" s="44"/>
    </row>
    <row r="7" spans="1:8" x14ac:dyDescent="0.35">
      <c r="D7" s="44" t="s">
        <v>257</v>
      </c>
      <c r="E7" s="44">
        <v>3.2288999999999998E-2</v>
      </c>
      <c r="H7" s="44"/>
    </row>
    <row r="8" spans="1:8" x14ac:dyDescent="0.35">
      <c r="D8" s="44" t="s">
        <v>251</v>
      </c>
      <c r="E8" s="44">
        <v>4.1140999999999997E-2</v>
      </c>
      <c r="H8" s="44"/>
    </row>
    <row r="9" spans="1:8" x14ac:dyDescent="0.35">
      <c r="D9" s="44"/>
      <c r="E9" s="44"/>
      <c r="H9" s="44"/>
    </row>
    <row r="10" spans="1:8" x14ac:dyDescent="0.35">
      <c r="D10" s="44"/>
      <c r="E10" s="44"/>
      <c r="H10" s="44"/>
    </row>
    <row r="11" spans="1:8" x14ac:dyDescent="0.35">
      <c r="D11" s="44"/>
      <c r="E11" s="44"/>
      <c r="H11" s="44"/>
    </row>
    <row r="12" spans="1:8" x14ac:dyDescent="0.35">
      <c r="D12" s="44"/>
      <c r="E12" s="44"/>
      <c r="H12" s="44"/>
    </row>
    <row r="13" spans="1:8" x14ac:dyDescent="0.35">
      <c r="D13" s="44"/>
      <c r="E13" s="44"/>
      <c r="H13" s="44"/>
    </row>
    <row r="14" spans="1:8" x14ac:dyDescent="0.35">
      <c r="D14" s="44"/>
      <c r="E14" s="44"/>
      <c r="H14" s="44"/>
    </row>
    <row r="15" spans="1:8" x14ac:dyDescent="0.35">
      <c r="D15" s="44"/>
      <c r="E15" s="44"/>
      <c r="H15" s="44"/>
    </row>
    <row r="16" spans="1:8" x14ac:dyDescent="0.35">
      <c r="D16" s="44"/>
      <c r="E16" s="44"/>
      <c r="H16" s="44"/>
    </row>
    <row r="17" spans="4:8" x14ac:dyDescent="0.35">
      <c r="D17" s="44"/>
      <c r="E17" s="44"/>
      <c r="H17" s="44"/>
    </row>
    <row r="18" spans="4:8" x14ac:dyDescent="0.35">
      <c r="D18" s="44"/>
      <c r="E18" s="44"/>
      <c r="H18" s="44"/>
    </row>
    <row r="19" spans="4:8" x14ac:dyDescent="0.35">
      <c r="D19" s="44"/>
      <c r="E19" s="44"/>
      <c r="H19" s="44"/>
    </row>
    <row r="20" spans="4:8" x14ac:dyDescent="0.35">
      <c r="D20" s="44"/>
      <c r="E20" s="44"/>
      <c r="H20" s="44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I19" sqref="I19"/>
    </sheetView>
  </sheetViews>
  <sheetFormatPr defaultRowHeight="12.85" x14ac:dyDescent="0.35"/>
  <sheetData>
    <row r="1" spans="1:2" x14ac:dyDescent="0.35">
      <c r="A1" s="577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6" spans="1:2" x14ac:dyDescent="0.35">
      <c r="A6" s="577"/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374</v>
      </c>
      <c r="E17" t="s">
        <v>375</v>
      </c>
      <c r="F17" s="20">
        <f ca="1">TODAY()-__4_GebDatum+1</f>
        <v>1</v>
      </c>
    </row>
    <row r="18" spans="1:6" x14ac:dyDescent="0.35">
      <c r="A18" s="21">
        <f ca="1">IF(F17&lt;6,VLOOKUP(F17,A1:B5,2),IF(F18&lt;6,150,IF(F18&lt;8,125,IF(F18&lt;10,100,IF(F18&lt;20,(1000+(F18-10)*50)/F18,IF(F18&lt;30,(1500+(F18-20)*20)/F18,(1700+(F18-30)*10)/F18))))))</f>
        <v>30</v>
      </c>
      <c r="E18" t="s">
        <v>376</v>
      </c>
      <c r="F18">
        <f>_Pat_Gewicht/10</f>
        <v>10</v>
      </c>
    </row>
    <row r="20" spans="1:6" x14ac:dyDescent="0.35">
      <c r="A20" t="s">
        <v>123</v>
      </c>
    </row>
    <row r="21" spans="1:6" x14ac:dyDescent="0.35">
      <c r="A21">
        <f ca="1">ROUND((100-F17/365*(60/17))/5,0)*5</f>
        <v>100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524"/>
  <sheetViews>
    <sheetView workbookViewId="0">
      <selection sqref="A1:B1524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" x14ac:dyDescent="0.35">
      <c r="A1" t="s">
        <v>172</v>
      </c>
      <c r="B1" t="s">
        <v>173</v>
      </c>
    </row>
    <row r="2" spans="1:2" x14ac:dyDescent="0.35">
      <c r="A2" t="s">
        <v>1223</v>
      </c>
      <c r="B2">
        <v>123456</v>
      </c>
    </row>
    <row r="3" spans="1:2" x14ac:dyDescent="0.35">
      <c r="A3" t="s">
        <v>1224</v>
      </c>
      <c r="B3" t="s">
        <v>5002</v>
      </c>
    </row>
    <row r="4" spans="1:2" x14ac:dyDescent="0.35">
      <c r="A4" t="s">
        <v>1225</v>
      </c>
      <c r="B4" t="s">
        <v>5072</v>
      </c>
    </row>
    <row r="5" spans="1:2" x14ac:dyDescent="0.35">
      <c r="A5" t="s">
        <v>1226</v>
      </c>
      <c r="B5" t="s">
        <v>5072</v>
      </c>
    </row>
    <row r="6" spans="1:2" x14ac:dyDescent="0.35">
      <c r="A6" t="s">
        <v>1227</v>
      </c>
      <c r="B6">
        <v>42736</v>
      </c>
    </row>
    <row r="7" spans="1:2" x14ac:dyDescent="0.35">
      <c r="A7" t="s">
        <v>3606</v>
      </c>
    </row>
    <row r="8" spans="1:2" x14ac:dyDescent="0.35">
      <c r="A8" t="s">
        <v>3607</v>
      </c>
    </row>
    <row r="9" spans="1:2" x14ac:dyDescent="0.35">
      <c r="A9" t="s">
        <v>3608</v>
      </c>
    </row>
    <row r="10" spans="1:2" x14ac:dyDescent="0.35">
      <c r="A10" t="s">
        <v>3609</v>
      </c>
    </row>
    <row r="11" spans="1:2" x14ac:dyDescent="0.35">
      <c r="A11" t="s">
        <v>3610</v>
      </c>
    </row>
    <row r="12" spans="1:2" x14ac:dyDescent="0.35">
      <c r="A12" t="s">
        <v>3611</v>
      </c>
    </row>
    <row r="13" spans="1:2" x14ac:dyDescent="0.35">
      <c r="A13" t="s">
        <v>3612</v>
      </c>
    </row>
    <row r="14" spans="1:2" x14ac:dyDescent="0.35">
      <c r="A14" t="s">
        <v>3613</v>
      </c>
    </row>
    <row r="15" spans="1:2" x14ac:dyDescent="0.35">
      <c r="A15" t="s">
        <v>3614</v>
      </c>
    </row>
    <row r="16" spans="1:2" x14ac:dyDescent="0.35">
      <c r="A16" t="s">
        <v>3615</v>
      </c>
    </row>
    <row r="17" spans="1:1" x14ac:dyDescent="0.35">
      <c r="A17" t="s">
        <v>3616</v>
      </c>
    </row>
    <row r="18" spans="1:1" x14ac:dyDescent="0.35">
      <c r="A18" t="s">
        <v>3617</v>
      </c>
    </row>
    <row r="19" spans="1:1" x14ac:dyDescent="0.35">
      <c r="A19" t="s">
        <v>3618</v>
      </c>
    </row>
    <row r="20" spans="1:1" x14ac:dyDescent="0.35">
      <c r="A20" t="s">
        <v>3619</v>
      </c>
    </row>
    <row r="21" spans="1:1" x14ac:dyDescent="0.35">
      <c r="A21" t="s">
        <v>3620</v>
      </c>
    </row>
    <row r="22" spans="1:1" x14ac:dyDescent="0.35">
      <c r="A22" t="s">
        <v>3621</v>
      </c>
    </row>
    <row r="23" spans="1:1" x14ac:dyDescent="0.35">
      <c r="A23" t="s">
        <v>3622</v>
      </c>
    </row>
    <row r="24" spans="1:1" x14ac:dyDescent="0.35">
      <c r="A24" t="s">
        <v>3623</v>
      </c>
    </row>
    <row r="25" spans="1:1" x14ac:dyDescent="0.35">
      <c r="A25" t="s">
        <v>3624</v>
      </c>
    </row>
    <row r="26" spans="1:1" x14ac:dyDescent="0.35">
      <c r="A26" t="s">
        <v>3625</v>
      </c>
    </row>
    <row r="27" spans="1:1" x14ac:dyDescent="0.35">
      <c r="A27" t="s">
        <v>3626</v>
      </c>
    </row>
    <row r="28" spans="1:1" x14ac:dyDescent="0.35">
      <c r="A28" t="s">
        <v>3627</v>
      </c>
    </row>
    <row r="29" spans="1:1" x14ac:dyDescent="0.35">
      <c r="A29" t="s">
        <v>3628</v>
      </c>
    </row>
    <row r="30" spans="1:1" x14ac:dyDescent="0.35">
      <c r="A30" t="s">
        <v>3629</v>
      </c>
    </row>
    <row r="31" spans="1:1" x14ac:dyDescent="0.35">
      <c r="A31" t="s">
        <v>3630</v>
      </c>
    </row>
    <row r="32" spans="1:1" x14ac:dyDescent="0.35">
      <c r="A32" t="s">
        <v>3631</v>
      </c>
    </row>
    <row r="33" spans="1:1" x14ac:dyDescent="0.35">
      <c r="A33" t="s">
        <v>3632</v>
      </c>
    </row>
    <row r="34" spans="1:1" x14ac:dyDescent="0.35">
      <c r="A34" t="s">
        <v>3633</v>
      </c>
    </row>
    <row r="35" spans="1:1" x14ac:dyDescent="0.35">
      <c r="A35" t="s">
        <v>3634</v>
      </c>
    </row>
    <row r="36" spans="1:1" x14ac:dyDescent="0.35">
      <c r="A36" t="s">
        <v>3635</v>
      </c>
    </row>
    <row r="37" spans="1:1" x14ac:dyDescent="0.35">
      <c r="A37" t="s">
        <v>3636</v>
      </c>
    </row>
    <row r="38" spans="1:1" x14ac:dyDescent="0.35">
      <c r="A38" t="s">
        <v>3637</v>
      </c>
    </row>
    <row r="39" spans="1:1" x14ac:dyDescent="0.35">
      <c r="A39" t="s">
        <v>3638</v>
      </c>
    </row>
    <row r="40" spans="1:1" x14ac:dyDescent="0.35">
      <c r="A40" t="s">
        <v>3639</v>
      </c>
    </row>
    <row r="41" spans="1:1" x14ac:dyDescent="0.35">
      <c r="A41" t="s">
        <v>3640</v>
      </c>
    </row>
    <row r="42" spans="1:1" x14ac:dyDescent="0.35">
      <c r="A42" t="s">
        <v>3641</v>
      </c>
    </row>
    <row r="43" spans="1:1" x14ac:dyDescent="0.35">
      <c r="A43" t="s">
        <v>3642</v>
      </c>
    </row>
    <row r="44" spans="1:1" x14ac:dyDescent="0.35">
      <c r="A44" t="s">
        <v>3643</v>
      </c>
    </row>
    <row r="45" spans="1:1" x14ac:dyDescent="0.35">
      <c r="A45" t="s">
        <v>3644</v>
      </c>
    </row>
    <row r="46" spans="1:1" x14ac:dyDescent="0.35">
      <c r="A46" t="s">
        <v>3645</v>
      </c>
    </row>
    <row r="47" spans="1:1" x14ac:dyDescent="0.35">
      <c r="A47" t="s">
        <v>3646</v>
      </c>
    </row>
    <row r="48" spans="1:1" x14ac:dyDescent="0.35">
      <c r="A48" t="s">
        <v>3647</v>
      </c>
    </row>
    <row r="49" spans="1:1" x14ac:dyDescent="0.35">
      <c r="A49" t="s">
        <v>3648</v>
      </c>
    </row>
    <row r="50" spans="1:1" x14ac:dyDescent="0.35">
      <c r="A50" t="s">
        <v>3649</v>
      </c>
    </row>
    <row r="51" spans="1:1" x14ac:dyDescent="0.35">
      <c r="A51" t="s">
        <v>3650</v>
      </c>
    </row>
    <row r="52" spans="1:1" x14ac:dyDescent="0.35">
      <c r="A52" t="s">
        <v>3651</v>
      </c>
    </row>
    <row r="53" spans="1:1" x14ac:dyDescent="0.35">
      <c r="A53" t="s">
        <v>3652</v>
      </c>
    </row>
    <row r="54" spans="1:1" x14ac:dyDescent="0.35">
      <c r="A54" t="s">
        <v>3653</v>
      </c>
    </row>
    <row r="55" spans="1:1" x14ac:dyDescent="0.35">
      <c r="A55" t="s">
        <v>3654</v>
      </c>
    </row>
    <row r="56" spans="1:1" x14ac:dyDescent="0.35">
      <c r="A56" t="s">
        <v>3655</v>
      </c>
    </row>
    <row r="57" spans="1:1" x14ac:dyDescent="0.35">
      <c r="A57" t="s">
        <v>3656</v>
      </c>
    </row>
    <row r="58" spans="1:1" x14ac:dyDescent="0.35">
      <c r="A58" t="s">
        <v>3657</v>
      </c>
    </row>
    <row r="59" spans="1:1" x14ac:dyDescent="0.35">
      <c r="A59" t="s">
        <v>3658</v>
      </c>
    </row>
    <row r="60" spans="1:1" x14ac:dyDescent="0.35">
      <c r="A60" t="s">
        <v>3659</v>
      </c>
    </row>
    <row r="61" spans="1:1" x14ac:dyDescent="0.35">
      <c r="A61" t="s">
        <v>3660</v>
      </c>
    </row>
    <row r="62" spans="1:1" x14ac:dyDescent="0.35">
      <c r="A62" t="s">
        <v>3661</v>
      </c>
    </row>
    <row r="63" spans="1:1" x14ac:dyDescent="0.35">
      <c r="A63" t="s">
        <v>3662</v>
      </c>
    </row>
    <row r="64" spans="1:1" x14ac:dyDescent="0.35">
      <c r="A64" t="s">
        <v>3663</v>
      </c>
    </row>
    <row r="65" spans="1:1" x14ac:dyDescent="0.35">
      <c r="A65" t="s">
        <v>3664</v>
      </c>
    </row>
    <row r="66" spans="1:1" x14ac:dyDescent="0.35">
      <c r="A66" t="s">
        <v>3665</v>
      </c>
    </row>
    <row r="67" spans="1:1" x14ac:dyDescent="0.35">
      <c r="A67" t="s">
        <v>3666</v>
      </c>
    </row>
    <row r="68" spans="1:1" x14ac:dyDescent="0.35">
      <c r="A68" t="s">
        <v>3667</v>
      </c>
    </row>
    <row r="69" spans="1:1" x14ac:dyDescent="0.35">
      <c r="A69" t="s">
        <v>3668</v>
      </c>
    </row>
    <row r="70" spans="1:1" x14ac:dyDescent="0.35">
      <c r="A70" t="s">
        <v>3669</v>
      </c>
    </row>
    <row r="71" spans="1:1" x14ac:dyDescent="0.35">
      <c r="A71" t="s">
        <v>3670</v>
      </c>
    </row>
    <row r="72" spans="1:1" x14ac:dyDescent="0.35">
      <c r="A72" t="s">
        <v>3671</v>
      </c>
    </row>
    <row r="73" spans="1:1" x14ac:dyDescent="0.35">
      <c r="A73" t="s">
        <v>3672</v>
      </c>
    </row>
    <row r="74" spans="1:1" x14ac:dyDescent="0.35">
      <c r="A74" t="s">
        <v>3673</v>
      </c>
    </row>
    <row r="75" spans="1:1" x14ac:dyDescent="0.35">
      <c r="A75" t="s">
        <v>3674</v>
      </c>
    </row>
    <row r="76" spans="1:1" x14ac:dyDescent="0.35">
      <c r="A76" t="s">
        <v>3675</v>
      </c>
    </row>
    <row r="77" spans="1:1" x14ac:dyDescent="0.35">
      <c r="A77" t="s">
        <v>3676</v>
      </c>
    </row>
    <row r="78" spans="1:1" x14ac:dyDescent="0.35">
      <c r="A78" t="s">
        <v>3677</v>
      </c>
    </row>
    <row r="79" spans="1:1" x14ac:dyDescent="0.35">
      <c r="A79" t="s">
        <v>3678</v>
      </c>
    </row>
    <row r="80" spans="1:1" x14ac:dyDescent="0.35">
      <c r="A80" t="s">
        <v>3679</v>
      </c>
    </row>
    <row r="81" spans="1:1" x14ac:dyDescent="0.35">
      <c r="A81" t="s">
        <v>3680</v>
      </c>
    </row>
    <row r="82" spans="1:1" x14ac:dyDescent="0.35">
      <c r="A82" t="s">
        <v>3681</v>
      </c>
    </row>
    <row r="83" spans="1:1" x14ac:dyDescent="0.35">
      <c r="A83" t="s">
        <v>3682</v>
      </c>
    </row>
    <row r="84" spans="1:1" x14ac:dyDescent="0.35">
      <c r="A84" t="s">
        <v>3683</v>
      </c>
    </row>
    <row r="85" spans="1:1" x14ac:dyDescent="0.35">
      <c r="A85" t="s">
        <v>3684</v>
      </c>
    </row>
    <row r="86" spans="1:1" x14ac:dyDescent="0.35">
      <c r="A86" t="s">
        <v>3685</v>
      </c>
    </row>
    <row r="87" spans="1:1" x14ac:dyDescent="0.35">
      <c r="A87" t="s">
        <v>3686</v>
      </c>
    </row>
    <row r="88" spans="1:1" x14ac:dyDescent="0.35">
      <c r="A88" t="s">
        <v>3687</v>
      </c>
    </row>
    <row r="89" spans="1:1" x14ac:dyDescent="0.35">
      <c r="A89" t="s">
        <v>3688</v>
      </c>
    </row>
    <row r="90" spans="1:1" x14ac:dyDescent="0.35">
      <c r="A90" t="s">
        <v>3689</v>
      </c>
    </row>
    <row r="91" spans="1:1" x14ac:dyDescent="0.35">
      <c r="A91" t="s">
        <v>3690</v>
      </c>
    </row>
    <row r="92" spans="1:1" x14ac:dyDescent="0.35">
      <c r="A92" t="s">
        <v>3691</v>
      </c>
    </row>
    <row r="93" spans="1:1" x14ac:dyDescent="0.35">
      <c r="A93" t="s">
        <v>3692</v>
      </c>
    </row>
    <row r="94" spans="1:1" x14ac:dyDescent="0.35">
      <c r="A94" t="s">
        <v>3693</v>
      </c>
    </row>
    <row r="95" spans="1:1" x14ac:dyDescent="0.35">
      <c r="A95" t="s">
        <v>3694</v>
      </c>
    </row>
    <row r="96" spans="1:1" x14ac:dyDescent="0.35">
      <c r="A96" t="s">
        <v>3695</v>
      </c>
    </row>
    <row r="97" spans="1:1" x14ac:dyDescent="0.35">
      <c r="A97" t="s">
        <v>3696</v>
      </c>
    </row>
    <row r="98" spans="1:1" x14ac:dyDescent="0.35">
      <c r="A98" t="s">
        <v>3697</v>
      </c>
    </row>
    <row r="99" spans="1:1" x14ac:dyDescent="0.35">
      <c r="A99" t="s">
        <v>3698</v>
      </c>
    </row>
    <row r="100" spans="1:1" x14ac:dyDescent="0.35">
      <c r="A100" t="s">
        <v>3699</v>
      </c>
    </row>
    <row r="101" spans="1:1" x14ac:dyDescent="0.35">
      <c r="A101" t="s">
        <v>3700</v>
      </c>
    </row>
    <row r="102" spans="1:1" x14ac:dyDescent="0.35">
      <c r="A102" t="s">
        <v>3701</v>
      </c>
    </row>
    <row r="103" spans="1:1" x14ac:dyDescent="0.35">
      <c r="A103" t="s">
        <v>3702</v>
      </c>
    </row>
    <row r="104" spans="1:1" x14ac:dyDescent="0.35">
      <c r="A104" t="s">
        <v>3703</v>
      </c>
    </row>
    <row r="105" spans="1:1" x14ac:dyDescent="0.35">
      <c r="A105" t="s">
        <v>3704</v>
      </c>
    </row>
    <row r="106" spans="1:1" x14ac:dyDescent="0.35">
      <c r="A106" t="s">
        <v>3705</v>
      </c>
    </row>
    <row r="107" spans="1:1" x14ac:dyDescent="0.35">
      <c r="A107" t="s">
        <v>3706</v>
      </c>
    </row>
    <row r="108" spans="1:1" x14ac:dyDescent="0.35">
      <c r="A108" t="s">
        <v>3707</v>
      </c>
    </row>
    <row r="109" spans="1:1" x14ac:dyDescent="0.35">
      <c r="A109" t="s">
        <v>3708</v>
      </c>
    </row>
    <row r="110" spans="1:1" x14ac:dyDescent="0.35">
      <c r="A110" t="s">
        <v>3709</v>
      </c>
    </row>
    <row r="111" spans="1:1" x14ac:dyDescent="0.35">
      <c r="A111" t="s">
        <v>3710</v>
      </c>
    </row>
    <row r="112" spans="1:1" x14ac:dyDescent="0.35">
      <c r="A112" t="s">
        <v>3711</v>
      </c>
    </row>
    <row r="113" spans="1:1" x14ac:dyDescent="0.35">
      <c r="A113" t="s">
        <v>3712</v>
      </c>
    </row>
    <row r="114" spans="1:1" x14ac:dyDescent="0.35">
      <c r="A114" t="s">
        <v>3713</v>
      </c>
    </row>
    <row r="115" spans="1:1" x14ac:dyDescent="0.35">
      <c r="A115" t="s">
        <v>3714</v>
      </c>
    </row>
    <row r="116" spans="1:1" x14ac:dyDescent="0.35">
      <c r="A116" t="s">
        <v>3715</v>
      </c>
    </row>
    <row r="117" spans="1:1" x14ac:dyDescent="0.35">
      <c r="A117" t="s">
        <v>3716</v>
      </c>
    </row>
    <row r="118" spans="1:1" x14ac:dyDescent="0.35">
      <c r="A118" t="s">
        <v>3717</v>
      </c>
    </row>
    <row r="119" spans="1:1" x14ac:dyDescent="0.35">
      <c r="A119" t="s">
        <v>3718</v>
      </c>
    </row>
    <row r="120" spans="1:1" x14ac:dyDescent="0.35">
      <c r="A120" t="s">
        <v>3719</v>
      </c>
    </row>
    <row r="121" spans="1:1" x14ac:dyDescent="0.35">
      <c r="A121" t="s">
        <v>3720</v>
      </c>
    </row>
    <row r="122" spans="1:1" x14ac:dyDescent="0.35">
      <c r="A122" t="s">
        <v>3721</v>
      </c>
    </row>
    <row r="123" spans="1:1" x14ac:dyDescent="0.35">
      <c r="A123" t="s">
        <v>3722</v>
      </c>
    </row>
    <row r="124" spans="1:1" x14ac:dyDescent="0.35">
      <c r="A124" t="s">
        <v>3723</v>
      </c>
    </row>
    <row r="125" spans="1:1" x14ac:dyDescent="0.35">
      <c r="A125" t="s">
        <v>3724</v>
      </c>
    </row>
    <row r="126" spans="1:1" x14ac:dyDescent="0.35">
      <c r="A126" t="s">
        <v>3725</v>
      </c>
    </row>
    <row r="127" spans="1:1" x14ac:dyDescent="0.35">
      <c r="A127" t="s">
        <v>3726</v>
      </c>
    </row>
    <row r="128" spans="1:1" x14ac:dyDescent="0.35">
      <c r="A128" t="s">
        <v>3727</v>
      </c>
    </row>
    <row r="129" spans="1:1" x14ac:dyDescent="0.35">
      <c r="A129" t="s">
        <v>3728</v>
      </c>
    </row>
    <row r="130" spans="1:1" x14ac:dyDescent="0.35">
      <c r="A130" t="s">
        <v>3729</v>
      </c>
    </row>
    <row r="131" spans="1:1" x14ac:dyDescent="0.35">
      <c r="A131" t="s">
        <v>3730</v>
      </c>
    </row>
    <row r="132" spans="1:1" x14ac:dyDescent="0.35">
      <c r="A132" t="s">
        <v>3731</v>
      </c>
    </row>
    <row r="133" spans="1:1" x14ac:dyDescent="0.35">
      <c r="A133" t="s">
        <v>3732</v>
      </c>
    </row>
    <row r="134" spans="1:1" x14ac:dyDescent="0.35">
      <c r="A134" t="s">
        <v>3733</v>
      </c>
    </row>
    <row r="135" spans="1:1" x14ac:dyDescent="0.35">
      <c r="A135" t="s">
        <v>3734</v>
      </c>
    </row>
    <row r="136" spans="1:1" x14ac:dyDescent="0.35">
      <c r="A136" t="s">
        <v>3735</v>
      </c>
    </row>
    <row r="137" spans="1:1" x14ac:dyDescent="0.35">
      <c r="A137" t="s">
        <v>3736</v>
      </c>
    </row>
    <row r="138" spans="1:1" x14ac:dyDescent="0.35">
      <c r="A138" t="s">
        <v>3737</v>
      </c>
    </row>
    <row r="139" spans="1:1" x14ac:dyDescent="0.35">
      <c r="A139" t="s">
        <v>3738</v>
      </c>
    </row>
    <row r="140" spans="1:1" x14ac:dyDescent="0.35">
      <c r="A140" t="s">
        <v>3739</v>
      </c>
    </row>
    <row r="141" spans="1:1" x14ac:dyDescent="0.35">
      <c r="A141" t="s">
        <v>3740</v>
      </c>
    </row>
    <row r="142" spans="1:1" x14ac:dyDescent="0.35">
      <c r="A142" t="s">
        <v>3741</v>
      </c>
    </row>
    <row r="143" spans="1:1" x14ac:dyDescent="0.35">
      <c r="A143" t="s">
        <v>3742</v>
      </c>
    </row>
    <row r="144" spans="1:1" x14ac:dyDescent="0.35">
      <c r="A144" t="s">
        <v>3743</v>
      </c>
    </row>
    <row r="145" spans="1:1" x14ac:dyDescent="0.35">
      <c r="A145" t="s">
        <v>3744</v>
      </c>
    </row>
    <row r="146" spans="1:1" x14ac:dyDescent="0.35">
      <c r="A146" t="s">
        <v>3745</v>
      </c>
    </row>
    <row r="147" spans="1:1" x14ac:dyDescent="0.35">
      <c r="A147" t="s">
        <v>3746</v>
      </c>
    </row>
    <row r="148" spans="1:1" x14ac:dyDescent="0.35">
      <c r="A148" t="s">
        <v>3747</v>
      </c>
    </row>
    <row r="149" spans="1:1" x14ac:dyDescent="0.35">
      <c r="A149" t="s">
        <v>3748</v>
      </c>
    </row>
    <row r="150" spans="1:1" x14ac:dyDescent="0.35">
      <c r="A150" t="s">
        <v>3749</v>
      </c>
    </row>
    <row r="151" spans="1:1" x14ac:dyDescent="0.35">
      <c r="A151" t="s">
        <v>3750</v>
      </c>
    </row>
    <row r="152" spans="1:1" x14ac:dyDescent="0.35">
      <c r="A152" t="s">
        <v>3751</v>
      </c>
    </row>
    <row r="153" spans="1:1" x14ac:dyDescent="0.35">
      <c r="A153" t="s">
        <v>3752</v>
      </c>
    </row>
    <row r="154" spans="1:1" x14ac:dyDescent="0.35">
      <c r="A154" t="s">
        <v>3753</v>
      </c>
    </row>
    <row r="155" spans="1:1" x14ac:dyDescent="0.35">
      <c r="A155" t="s">
        <v>3754</v>
      </c>
    </row>
    <row r="156" spans="1:1" x14ac:dyDescent="0.35">
      <c r="A156" t="s">
        <v>3755</v>
      </c>
    </row>
    <row r="157" spans="1:1" x14ac:dyDescent="0.35">
      <c r="A157" t="s">
        <v>3756</v>
      </c>
    </row>
    <row r="158" spans="1:1" x14ac:dyDescent="0.35">
      <c r="A158" t="s">
        <v>3757</v>
      </c>
    </row>
    <row r="159" spans="1:1" x14ac:dyDescent="0.35">
      <c r="A159" t="s">
        <v>3758</v>
      </c>
    </row>
    <row r="160" spans="1:1" x14ac:dyDescent="0.35">
      <c r="A160" t="s">
        <v>3759</v>
      </c>
    </row>
    <row r="161" spans="1:1" x14ac:dyDescent="0.35">
      <c r="A161" t="s">
        <v>3760</v>
      </c>
    </row>
    <row r="162" spans="1:1" x14ac:dyDescent="0.35">
      <c r="A162" t="s">
        <v>3761</v>
      </c>
    </row>
    <row r="163" spans="1:1" x14ac:dyDescent="0.35">
      <c r="A163" t="s">
        <v>3762</v>
      </c>
    </row>
    <row r="164" spans="1:1" x14ac:dyDescent="0.35">
      <c r="A164" t="s">
        <v>3763</v>
      </c>
    </row>
    <row r="165" spans="1:1" x14ac:dyDescent="0.35">
      <c r="A165" t="s">
        <v>3764</v>
      </c>
    </row>
    <row r="166" spans="1:1" x14ac:dyDescent="0.35">
      <c r="A166" t="s">
        <v>3765</v>
      </c>
    </row>
    <row r="167" spans="1:1" x14ac:dyDescent="0.35">
      <c r="A167" t="s">
        <v>3766</v>
      </c>
    </row>
    <row r="168" spans="1:1" x14ac:dyDescent="0.35">
      <c r="A168" t="s">
        <v>3767</v>
      </c>
    </row>
    <row r="169" spans="1:1" x14ac:dyDescent="0.35">
      <c r="A169" t="s">
        <v>3768</v>
      </c>
    </row>
    <row r="170" spans="1:1" x14ac:dyDescent="0.35">
      <c r="A170" t="s">
        <v>3769</v>
      </c>
    </row>
    <row r="171" spans="1:1" x14ac:dyDescent="0.35">
      <c r="A171" t="s">
        <v>3770</v>
      </c>
    </row>
    <row r="172" spans="1:1" x14ac:dyDescent="0.35">
      <c r="A172" t="s">
        <v>3771</v>
      </c>
    </row>
    <row r="173" spans="1:1" x14ac:dyDescent="0.35">
      <c r="A173" t="s">
        <v>3772</v>
      </c>
    </row>
    <row r="174" spans="1:1" x14ac:dyDescent="0.35">
      <c r="A174" t="s">
        <v>3773</v>
      </c>
    </row>
    <row r="175" spans="1:1" x14ac:dyDescent="0.35">
      <c r="A175" t="s">
        <v>3774</v>
      </c>
    </row>
    <row r="176" spans="1:1" x14ac:dyDescent="0.35">
      <c r="A176" t="s">
        <v>3775</v>
      </c>
    </row>
    <row r="177" spans="1:1" x14ac:dyDescent="0.35">
      <c r="A177" t="s">
        <v>3776</v>
      </c>
    </row>
    <row r="178" spans="1:1" x14ac:dyDescent="0.35">
      <c r="A178" t="s">
        <v>3777</v>
      </c>
    </row>
    <row r="179" spans="1:1" x14ac:dyDescent="0.35">
      <c r="A179" t="s">
        <v>3778</v>
      </c>
    </row>
    <row r="180" spans="1:1" x14ac:dyDescent="0.35">
      <c r="A180" t="s">
        <v>3779</v>
      </c>
    </row>
    <row r="181" spans="1:1" x14ac:dyDescent="0.35">
      <c r="A181" t="s">
        <v>3780</v>
      </c>
    </row>
    <row r="182" spans="1:1" x14ac:dyDescent="0.35">
      <c r="A182" t="s">
        <v>3781</v>
      </c>
    </row>
    <row r="183" spans="1:1" x14ac:dyDescent="0.35">
      <c r="A183" t="s">
        <v>3782</v>
      </c>
    </row>
    <row r="184" spans="1:1" x14ac:dyDescent="0.35">
      <c r="A184" t="s">
        <v>3783</v>
      </c>
    </row>
    <row r="185" spans="1:1" x14ac:dyDescent="0.35">
      <c r="A185" t="s">
        <v>3784</v>
      </c>
    </row>
    <row r="186" spans="1:1" x14ac:dyDescent="0.35">
      <c r="A186" t="s">
        <v>3785</v>
      </c>
    </row>
    <row r="187" spans="1:1" x14ac:dyDescent="0.35">
      <c r="A187" t="s">
        <v>3786</v>
      </c>
    </row>
    <row r="188" spans="1:1" x14ac:dyDescent="0.35">
      <c r="A188" t="s">
        <v>3787</v>
      </c>
    </row>
    <row r="189" spans="1:1" x14ac:dyDescent="0.35">
      <c r="A189" t="s">
        <v>3788</v>
      </c>
    </row>
    <row r="190" spans="1:1" x14ac:dyDescent="0.35">
      <c r="A190" t="s">
        <v>3789</v>
      </c>
    </row>
    <row r="191" spans="1:1" x14ac:dyDescent="0.35">
      <c r="A191" t="s">
        <v>3790</v>
      </c>
    </row>
    <row r="192" spans="1:1" x14ac:dyDescent="0.35">
      <c r="A192" t="s">
        <v>3791</v>
      </c>
    </row>
    <row r="193" spans="1:1" x14ac:dyDescent="0.35">
      <c r="A193" t="s">
        <v>3792</v>
      </c>
    </row>
    <row r="194" spans="1:1" x14ac:dyDescent="0.35">
      <c r="A194" t="s">
        <v>3793</v>
      </c>
    </row>
    <row r="195" spans="1:1" x14ac:dyDescent="0.35">
      <c r="A195" t="s">
        <v>3794</v>
      </c>
    </row>
    <row r="196" spans="1:1" x14ac:dyDescent="0.35">
      <c r="A196" t="s">
        <v>3795</v>
      </c>
    </row>
    <row r="197" spans="1:1" x14ac:dyDescent="0.35">
      <c r="A197" t="s">
        <v>3796</v>
      </c>
    </row>
    <row r="198" spans="1:1" x14ac:dyDescent="0.35">
      <c r="A198" t="s">
        <v>3797</v>
      </c>
    </row>
    <row r="199" spans="1:1" x14ac:dyDescent="0.35">
      <c r="A199" t="s">
        <v>3798</v>
      </c>
    </row>
    <row r="200" spans="1:1" x14ac:dyDescent="0.35">
      <c r="A200" t="s">
        <v>3799</v>
      </c>
    </row>
    <row r="201" spans="1:1" x14ac:dyDescent="0.35">
      <c r="A201" t="s">
        <v>3800</v>
      </c>
    </row>
    <row r="202" spans="1:1" x14ac:dyDescent="0.35">
      <c r="A202" t="s">
        <v>3801</v>
      </c>
    </row>
    <row r="203" spans="1:1" x14ac:dyDescent="0.35">
      <c r="A203" t="s">
        <v>3802</v>
      </c>
    </row>
    <row r="204" spans="1:1" x14ac:dyDescent="0.35">
      <c r="A204" t="s">
        <v>3803</v>
      </c>
    </row>
    <row r="205" spans="1:1" x14ac:dyDescent="0.35">
      <c r="A205" t="s">
        <v>3804</v>
      </c>
    </row>
    <row r="206" spans="1:1" x14ac:dyDescent="0.35">
      <c r="A206" t="s">
        <v>3805</v>
      </c>
    </row>
    <row r="207" spans="1:1" x14ac:dyDescent="0.35">
      <c r="A207" t="s">
        <v>3806</v>
      </c>
    </row>
    <row r="208" spans="1:1" x14ac:dyDescent="0.35">
      <c r="A208" t="s">
        <v>3807</v>
      </c>
    </row>
    <row r="209" spans="1:1" x14ac:dyDescent="0.35">
      <c r="A209" t="s">
        <v>3808</v>
      </c>
    </row>
    <row r="210" spans="1:1" x14ac:dyDescent="0.35">
      <c r="A210" t="s">
        <v>3809</v>
      </c>
    </row>
    <row r="211" spans="1:1" x14ac:dyDescent="0.35">
      <c r="A211" t="s">
        <v>3810</v>
      </c>
    </row>
    <row r="212" spans="1:1" x14ac:dyDescent="0.35">
      <c r="A212" t="s">
        <v>3811</v>
      </c>
    </row>
    <row r="213" spans="1:1" x14ac:dyDescent="0.35">
      <c r="A213" t="s">
        <v>3812</v>
      </c>
    </row>
    <row r="214" spans="1:1" x14ac:dyDescent="0.35">
      <c r="A214" t="s">
        <v>3813</v>
      </c>
    </row>
    <row r="215" spans="1:1" x14ac:dyDescent="0.35">
      <c r="A215" t="s">
        <v>3814</v>
      </c>
    </row>
    <row r="216" spans="1:1" x14ac:dyDescent="0.35">
      <c r="A216" t="s">
        <v>3815</v>
      </c>
    </row>
    <row r="217" spans="1:1" x14ac:dyDescent="0.35">
      <c r="A217" t="s">
        <v>3816</v>
      </c>
    </row>
    <row r="218" spans="1:1" x14ac:dyDescent="0.35">
      <c r="A218" t="s">
        <v>3817</v>
      </c>
    </row>
    <row r="219" spans="1:1" x14ac:dyDescent="0.35">
      <c r="A219" t="s">
        <v>3818</v>
      </c>
    </row>
    <row r="220" spans="1:1" x14ac:dyDescent="0.35">
      <c r="A220" t="s">
        <v>3819</v>
      </c>
    </row>
    <row r="221" spans="1:1" x14ac:dyDescent="0.35">
      <c r="A221" t="s">
        <v>3820</v>
      </c>
    </row>
    <row r="222" spans="1:1" x14ac:dyDescent="0.35">
      <c r="A222" t="s">
        <v>3821</v>
      </c>
    </row>
    <row r="223" spans="1:1" x14ac:dyDescent="0.35">
      <c r="A223" t="s">
        <v>3822</v>
      </c>
    </row>
    <row r="224" spans="1:1" x14ac:dyDescent="0.35">
      <c r="A224" t="s">
        <v>3823</v>
      </c>
    </row>
    <row r="225" spans="1:1" x14ac:dyDescent="0.35">
      <c r="A225" t="s">
        <v>3824</v>
      </c>
    </row>
    <row r="226" spans="1:1" x14ac:dyDescent="0.35">
      <c r="A226" t="s">
        <v>3825</v>
      </c>
    </row>
    <row r="227" spans="1:1" x14ac:dyDescent="0.35">
      <c r="A227" t="s">
        <v>3826</v>
      </c>
    </row>
    <row r="228" spans="1:1" x14ac:dyDescent="0.35">
      <c r="A228" t="s">
        <v>3827</v>
      </c>
    </row>
    <row r="229" spans="1:1" x14ac:dyDescent="0.35">
      <c r="A229" t="s">
        <v>3828</v>
      </c>
    </row>
    <row r="230" spans="1:1" x14ac:dyDescent="0.35">
      <c r="A230" t="s">
        <v>3829</v>
      </c>
    </row>
    <row r="231" spans="1:1" x14ac:dyDescent="0.35">
      <c r="A231" t="s">
        <v>3830</v>
      </c>
    </row>
    <row r="232" spans="1:1" x14ac:dyDescent="0.35">
      <c r="A232" t="s">
        <v>3831</v>
      </c>
    </row>
    <row r="233" spans="1:1" x14ac:dyDescent="0.35">
      <c r="A233" t="s">
        <v>3832</v>
      </c>
    </row>
    <row r="234" spans="1:1" x14ac:dyDescent="0.35">
      <c r="A234" t="s">
        <v>3833</v>
      </c>
    </row>
    <row r="235" spans="1:1" x14ac:dyDescent="0.35">
      <c r="A235" t="s">
        <v>3834</v>
      </c>
    </row>
    <row r="236" spans="1:1" x14ac:dyDescent="0.35">
      <c r="A236" t="s">
        <v>3835</v>
      </c>
    </row>
    <row r="237" spans="1:1" x14ac:dyDescent="0.35">
      <c r="A237" t="s">
        <v>3836</v>
      </c>
    </row>
    <row r="238" spans="1:1" x14ac:dyDescent="0.35">
      <c r="A238" t="s">
        <v>3837</v>
      </c>
    </row>
    <row r="239" spans="1:1" x14ac:dyDescent="0.35">
      <c r="A239" t="s">
        <v>3838</v>
      </c>
    </row>
    <row r="240" spans="1:1" x14ac:dyDescent="0.35">
      <c r="A240" t="s">
        <v>3839</v>
      </c>
    </row>
    <row r="241" spans="1:1" x14ac:dyDescent="0.35">
      <c r="A241" t="s">
        <v>3840</v>
      </c>
    </row>
    <row r="242" spans="1:1" x14ac:dyDescent="0.35">
      <c r="A242" t="s">
        <v>3841</v>
      </c>
    </row>
    <row r="243" spans="1:1" x14ac:dyDescent="0.35">
      <c r="A243" t="s">
        <v>3842</v>
      </c>
    </row>
    <row r="244" spans="1:1" x14ac:dyDescent="0.35">
      <c r="A244" t="s">
        <v>3843</v>
      </c>
    </row>
    <row r="245" spans="1:1" x14ac:dyDescent="0.35">
      <c r="A245" t="s">
        <v>3844</v>
      </c>
    </row>
    <row r="246" spans="1:1" x14ac:dyDescent="0.35">
      <c r="A246" t="s">
        <v>3845</v>
      </c>
    </row>
    <row r="247" spans="1:1" x14ac:dyDescent="0.35">
      <c r="A247" t="s">
        <v>3846</v>
      </c>
    </row>
    <row r="248" spans="1:1" x14ac:dyDescent="0.35">
      <c r="A248" t="s">
        <v>3847</v>
      </c>
    </row>
    <row r="249" spans="1:1" x14ac:dyDescent="0.35">
      <c r="A249" t="s">
        <v>3848</v>
      </c>
    </row>
    <row r="250" spans="1:1" x14ac:dyDescent="0.35">
      <c r="A250" t="s">
        <v>3849</v>
      </c>
    </row>
    <row r="251" spans="1:1" x14ac:dyDescent="0.35">
      <c r="A251" t="s">
        <v>3850</v>
      </c>
    </row>
    <row r="252" spans="1:1" x14ac:dyDescent="0.35">
      <c r="A252" t="s">
        <v>3851</v>
      </c>
    </row>
    <row r="253" spans="1:1" x14ac:dyDescent="0.35">
      <c r="A253" t="s">
        <v>3852</v>
      </c>
    </row>
    <row r="254" spans="1:1" x14ac:dyDescent="0.35">
      <c r="A254" t="s">
        <v>3853</v>
      </c>
    </row>
    <row r="255" spans="1:1" x14ac:dyDescent="0.35">
      <c r="A255" t="s">
        <v>3854</v>
      </c>
    </row>
    <row r="256" spans="1:1" x14ac:dyDescent="0.35">
      <c r="A256" t="s">
        <v>3855</v>
      </c>
    </row>
    <row r="257" spans="1:1" x14ac:dyDescent="0.35">
      <c r="A257" t="s">
        <v>3856</v>
      </c>
    </row>
    <row r="258" spans="1:1" x14ac:dyDescent="0.35">
      <c r="A258" t="s">
        <v>3857</v>
      </c>
    </row>
    <row r="259" spans="1:1" x14ac:dyDescent="0.35">
      <c r="A259" t="s">
        <v>3858</v>
      </c>
    </row>
    <row r="260" spans="1:1" x14ac:dyDescent="0.35">
      <c r="A260" t="s">
        <v>3859</v>
      </c>
    </row>
    <row r="261" spans="1:1" x14ac:dyDescent="0.35">
      <c r="A261" t="s">
        <v>3860</v>
      </c>
    </row>
    <row r="262" spans="1:1" x14ac:dyDescent="0.35">
      <c r="A262" t="s">
        <v>3861</v>
      </c>
    </row>
    <row r="263" spans="1:1" x14ac:dyDescent="0.35">
      <c r="A263" t="s">
        <v>3862</v>
      </c>
    </row>
    <row r="264" spans="1:1" x14ac:dyDescent="0.35">
      <c r="A264" t="s">
        <v>3863</v>
      </c>
    </row>
    <row r="265" spans="1:1" x14ac:dyDescent="0.35">
      <c r="A265" t="s">
        <v>3864</v>
      </c>
    </row>
    <row r="266" spans="1:1" x14ac:dyDescent="0.35">
      <c r="A266" t="s">
        <v>3865</v>
      </c>
    </row>
    <row r="267" spans="1:1" x14ac:dyDescent="0.35">
      <c r="A267" t="s">
        <v>3866</v>
      </c>
    </row>
    <row r="268" spans="1:1" x14ac:dyDescent="0.35">
      <c r="A268" t="s">
        <v>3867</v>
      </c>
    </row>
    <row r="269" spans="1:1" x14ac:dyDescent="0.35">
      <c r="A269" t="s">
        <v>3868</v>
      </c>
    </row>
    <row r="270" spans="1:1" x14ac:dyDescent="0.35">
      <c r="A270" t="s">
        <v>3869</v>
      </c>
    </row>
    <row r="271" spans="1:1" x14ac:dyDescent="0.35">
      <c r="A271" t="s">
        <v>3870</v>
      </c>
    </row>
    <row r="272" spans="1:1" x14ac:dyDescent="0.35">
      <c r="A272" t="s">
        <v>3871</v>
      </c>
    </row>
    <row r="273" spans="1:1" x14ac:dyDescent="0.35">
      <c r="A273" t="s">
        <v>3872</v>
      </c>
    </row>
    <row r="274" spans="1:1" x14ac:dyDescent="0.35">
      <c r="A274" t="s">
        <v>3873</v>
      </c>
    </row>
    <row r="275" spans="1:1" x14ac:dyDescent="0.35">
      <c r="A275" t="s">
        <v>3874</v>
      </c>
    </row>
    <row r="276" spans="1:1" x14ac:dyDescent="0.35">
      <c r="A276" t="s">
        <v>3875</v>
      </c>
    </row>
    <row r="277" spans="1:1" x14ac:dyDescent="0.35">
      <c r="A277" t="s">
        <v>3876</v>
      </c>
    </row>
    <row r="278" spans="1:1" x14ac:dyDescent="0.35">
      <c r="A278" t="s">
        <v>3877</v>
      </c>
    </row>
    <row r="279" spans="1:1" x14ac:dyDescent="0.35">
      <c r="A279" t="s">
        <v>3878</v>
      </c>
    </row>
    <row r="280" spans="1:1" x14ac:dyDescent="0.35">
      <c r="A280" t="s">
        <v>3879</v>
      </c>
    </row>
    <row r="281" spans="1:1" x14ac:dyDescent="0.35">
      <c r="A281" t="s">
        <v>3880</v>
      </c>
    </row>
    <row r="282" spans="1:1" x14ac:dyDescent="0.35">
      <c r="A282" t="s">
        <v>3881</v>
      </c>
    </row>
    <row r="283" spans="1:1" x14ac:dyDescent="0.35">
      <c r="A283" t="s">
        <v>3882</v>
      </c>
    </row>
    <row r="284" spans="1:1" x14ac:dyDescent="0.35">
      <c r="A284" t="s">
        <v>3883</v>
      </c>
    </row>
    <row r="285" spans="1:1" x14ac:dyDescent="0.35">
      <c r="A285" t="s">
        <v>3884</v>
      </c>
    </row>
    <row r="286" spans="1:1" x14ac:dyDescent="0.35">
      <c r="A286" t="s">
        <v>3885</v>
      </c>
    </row>
    <row r="287" spans="1:1" x14ac:dyDescent="0.35">
      <c r="A287" t="s">
        <v>3886</v>
      </c>
    </row>
    <row r="288" spans="1:1" x14ac:dyDescent="0.35">
      <c r="A288" t="s">
        <v>3887</v>
      </c>
    </row>
    <row r="289" spans="1:1" x14ac:dyDescent="0.35">
      <c r="A289" t="s">
        <v>3888</v>
      </c>
    </row>
    <row r="290" spans="1:1" x14ac:dyDescent="0.35">
      <c r="A290" t="s">
        <v>3889</v>
      </c>
    </row>
    <row r="291" spans="1:1" x14ac:dyDescent="0.35">
      <c r="A291" t="s">
        <v>3890</v>
      </c>
    </row>
    <row r="292" spans="1:1" x14ac:dyDescent="0.35">
      <c r="A292" t="s">
        <v>3891</v>
      </c>
    </row>
    <row r="293" spans="1:1" x14ac:dyDescent="0.35">
      <c r="A293" t="s">
        <v>3892</v>
      </c>
    </row>
    <row r="294" spans="1:1" x14ac:dyDescent="0.35">
      <c r="A294" t="s">
        <v>3893</v>
      </c>
    </row>
    <row r="295" spans="1:1" x14ac:dyDescent="0.35">
      <c r="A295" t="s">
        <v>3894</v>
      </c>
    </row>
    <row r="296" spans="1:1" x14ac:dyDescent="0.35">
      <c r="A296" t="s">
        <v>3895</v>
      </c>
    </row>
    <row r="297" spans="1:1" x14ac:dyDescent="0.35">
      <c r="A297" t="s">
        <v>3896</v>
      </c>
    </row>
    <row r="298" spans="1:1" x14ac:dyDescent="0.35">
      <c r="A298" t="s">
        <v>3897</v>
      </c>
    </row>
    <row r="299" spans="1:1" x14ac:dyDescent="0.35">
      <c r="A299" t="s">
        <v>3898</v>
      </c>
    </row>
    <row r="300" spans="1:1" x14ac:dyDescent="0.35">
      <c r="A300" t="s">
        <v>3899</v>
      </c>
    </row>
    <row r="301" spans="1:1" x14ac:dyDescent="0.35">
      <c r="A301" t="s">
        <v>3900</v>
      </c>
    </row>
    <row r="302" spans="1:1" x14ac:dyDescent="0.35">
      <c r="A302" t="s">
        <v>3901</v>
      </c>
    </row>
    <row r="303" spans="1:1" x14ac:dyDescent="0.35">
      <c r="A303" t="s">
        <v>3902</v>
      </c>
    </row>
    <row r="304" spans="1:1" x14ac:dyDescent="0.35">
      <c r="A304" t="s">
        <v>3903</v>
      </c>
    </row>
    <row r="305" spans="1:1" x14ac:dyDescent="0.35">
      <c r="A305" t="s">
        <v>3904</v>
      </c>
    </row>
    <row r="306" spans="1:1" x14ac:dyDescent="0.35">
      <c r="A306" t="s">
        <v>3905</v>
      </c>
    </row>
    <row r="307" spans="1:1" x14ac:dyDescent="0.35">
      <c r="A307" t="s">
        <v>3906</v>
      </c>
    </row>
    <row r="308" spans="1:1" x14ac:dyDescent="0.35">
      <c r="A308" t="s">
        <v>3907</v>
      </c>
    </row>
    <row r="309" spans="1:1" x14ac:dyDescent="0.35">
      <c r="A309" t="s">
        <v>3908</v>
      </c>
    </row>
    <row r="310" spans="1:1" x14ac:dyDescent="0.35">
      <c r="A310" t="s">
        <v>3909</v>
      </c>
    </row>
    <row r="311" spans="1:1" x14ac:dyDescent="0.35">
      <c r="A311" t="s">
        <v>3910</v>
      </c>
    </row>
    <row r="312" spans="1:1" x14ac:dyDescent="0.35">
      <c r="A312" t="s">
        <v>3911</v>
      </c>
    </row>
    <row r="313" spans="1:1" x14ac:dyDescent="0.35">
      <c r="A313" t="s">
        <v>3912</v>
      </c>
    </row>
    <row r="314" spans="1:1" x14ac:dyDescent="0.35">
      <c r="A314" t="s">
        <v>3913</v>
      </c>
    </row>
    <row r="315" spans="1:1" x14ac:dyDescent="0.35">
      <c r="A315" t="s">
        <v>3914</v>
      </c>
    </row>
    <row r="316" spans="1:1" x14ac:dyDescent="0.35">
      <c r="A316" t="s">
        <v>3915</v>
      </c>
    </row>
    <row r="317" spans="1:1" x14ac:dyDescent="0.35">
      <c r="A317" t="s">
        <v>3916</v>
      </c>
    </row>
    <row r="318" spans="1:1" x14ac:dyDescent="0.35">
      <c r="A318" t="s">
        <v>3917</v>
      </c>
    </row>
    <row r="319" spans="1:1" x14ac:dyDescent="0.35">
      <c r="A319" t="s">
        <v>3918</v>
      </c>
    </row>
    <row r="320" spans="1:1" x14ac:dyDescent="0.35">
      <c r="A320" t="s">
        <v>3919</v>
      </c>
    </row>
    <row r="321" spans="1:1" x14ac:dyDescent="0.35">
      <c r="A321" t="s">
        <v>3920</v>
      </c>
    </row>
    <row r="322" spans="1:1" x14ac:dyDescent="0.35">
      <c r="A322" t="s">
        <v>3921</v>
      </c>
    </row>
    <row r="323" spans="1:1" x14ac:dyDescent="0.35">
      <c r="A323" t="s">
        <v>3922</v>
      </c>
    </row>
    <row r="324" spans="1:1" x14ac:dyDescent="0.35">
      <c r="A324" t="s">
        <v>3923</v>
      </c>
    </row>
    <row r="325" spans="1:1" x14ac:dyDescent="0.35">
      <c r="A325" t="s">
        <v>3924</v>
      </c>
    </row>
    <row r="326" spans="1:1" x14ac:dyDescent="0.35">
      <c r="A326" t="s">
        <v>3925</v>
      </c>
    </row>
    <row r="327" spans="1:1" x14ac:dyDescent="0.35">
      <c r="A327" t="s">
        <v>3926</v>
      </c>
    </row>
    <row r="328" spans="1:1" x14ac:dyDescent="0.35">
      <c r="A328" t="s">
        <v>3927</v>
      </c>
    </row>
    <row r="329" spans="1:1" x14ac:dyDescent="0.35">
      <c r="A329" t="s">
        <v>3928</v>
      </c>
    </row>
    <row r="330" spans="1:1" x14ac:dyDescent="0.35">
      <c r="A330" t="s">
        <v>3929</v>
      </c>
    </row>
    <row r="331" spans="1:1" x14ac:dyDescent="0.35">
      <c r="A331" t="s">
        <v>3930</v>
      </c>
    </row>
    <row r="332" spans="1:1" x14ac:dyDescent="0.35">
      <c r="A332" t="s">
        <v>3931</v>
      </c>
    </row>
    <row r="333" spans="1:1" x14ac:dyDescent="0.35">
      <c r="A333" t="s">
        <v>3932</v>
      </c>
    </row>
    <row r="334" spans="1:1" x14ac:dyDescent="0.35">
      <c r="A334" t="s">
        <v>3933</v>
      </c>
    </row>
    <row r="335" spans="1:1" x14ac:dyDescent="0.35">
      <c r="A335" t="s">
        <v>3934</v>
      </c>
    </row>
    <row r="336" spans="1:1" x14ac:dyDescent="0.35">
      <c r="A336" t="s">
        <v>3935</v>
      </c>
    </row>
    <row r="337" spans="1:1" x14ac:dyDescent="0.35">
      <c r="A337" t="s">
        <v>3936</v>
      </c>
    </row>
    <row r="338" spans="1:1" x14ac:dyDescent="0.35">
      <c r="A338" t="s">
        <v>3937</v>
      </c>
    </row>
    <row r="339" spans="1:1" x14ac:dyDescent="0.35">
      <c r="A339" t="s">
        <v>3938</v>
      </c>
    </row>
    <row r="340" spans="1:1" x14ac:dyDescent="0.35">
      <c r="A340" t="s">
        <v>3939</v>
      </c>
    </row>
    <row r="341" spans="1:1" x14ac:dyDescent="0.35">
      <c r="A341" t="s">
        <v>3940</v>
      </c>
    </row>
    <row r="342" spans="1:1" x14ac:dyDescent="0.35">
      <c r="A342" t="s">
        <v>3941</v>
      </c>
    </row>
    <row r="343" spans="1:1" x14ac:dyDescent="0.35">
      <c r="A343" t="s">
        <v>3942</v>
      </c>
    </row>
    <row r="344" spans="1:1" x14ac:dyDescent="0.35">
      <c r="A344" t="s">
        <v>3943</v>
      </c>
    </row>
    <row r="345" spans="1:1" x14ac:dyDescent="0.35">
      <c r="A345" t="s">
        <v>3944</v>
      </c>
    </row>
    <row r="346" spans="1:1" x14ac:dyDescent="0.35">
      <c r="A346" t="s">
        <v>3945</v>
      </c>
    </row>
    <row r="347" spans="1:1" x14ac:dyDescent="0.35">
      <c r="A347" t="s">
        <v>3946</v>
      </c>
    </row>
    <row r="348" spans="1:1" x14ac:dyDescent="0.35">
      <c r="A348" t="s">
        <v>3947</v>
      </c>
    </row>
    <row r="349" spans="1:1" x14ac:dyDescent="0.35">
      <c r="A349" t="s">
        <v>3948</v>
      </c>
    </row>
    <row r="350" spans="1:1" x14ac:dyDescent="0.35">
      <c r="A350" t="s">
        <v>3949</v>
      </c>
    </row>
    <row r="351" spans="1:1" x14ac:dyDescent="0.35">
      <c r="A351" t="s">
        <v>3950</v>
      </c>
    </row>
    <row r="352" spans="1:1" x14ac:dyDescent="0.35">
      <c r="A352" t="s">
        <v>3951</v>
      </c>
    </row>
    <row r="353" spans="1:1" x14ac:dyDescent="0.35">
      <c r="A353" t="s">
        <v>3952</v>
      </c>
    </row>
    <row r="354" spans="1:1" x14ac:dyDescent="0.35">
      <c r="A354" t="s">
        <v>3953</v>
      </c>
    </row>
    <row r="355" spans="1:1" x14ac:dyDescent="0.35">
      <c r="A355" t="s">
        <v>3954</v>
      </c>
    </row>
    <row r="356" spans="1:1" x14ac:dyDescent="0.35">
      <c r="A356" t="s">
        <v>3955</v>
      </c>
    </row>
    <row r="357" spans="1:1" x14ac:dyDescent="0.35">
      <c r="A357" t="s">
        <v>3956</v>
      </c>
    </row>
    <row r="358" spans="1:1" x14ac:dyDescent="0.35">
      <c r="A358" t="s">
        <v>3957</v>
      </c>
    </row>
    <row r="359" spans="1:1" x14ac:dyDescent="0.35">
      <c r="A359" t="s">
        <v>3958</v>
      </c>
    </row>
    <row r="360" spans="1:1" x14ac:dyDescent="0.35">
      <c r="A360" t="s">
        <v>3959</v>
      </c>
    </row>
    <row r="361" spans="1:1" x14ac:dyDescent="0.35">
      <c r="A361" t="s">
        <v>3960</v>
      </c>
    </row>
    <row r="362" spans="1:1" x14ac:dyDescent="0.35">
      <c r="A362" t="s">
        <v>3961</v>
      </c>
    </row>
    <row r="363" spans="1:1" x14ac:dyDescent="0.35">
      <c r="A363" t="s">
        <v>3962</v>
      </c>
    </row>
    <row r="364" spans="1:1" x14ac:dyDescent="0.35">
      <c r="A364" t="s">
        <v>3963</v>
      </c>
    </row>
    <row r="365" spans="1:1" x14ac:dyDescent="0.35">
      <c r="A365" t="s">
        <v>3964</v>
      </c>
    </row>
    <row r="366" spans="1:1" x14ac:dyDescent="0.35">
      <c r="A366" t="s">
        <v>3965</v>
      </c>
    </row>
    <row r="367" spans="1:1" x14ac:dyDescent="0.35">
      <c r="A367" t="s">
        <v>3966</v>
      </c>
    </row>
    <row r="368" spans="1:1" x14ac:dyDescent="0.35">
      <c r="A368" t="s">
        <v>3967</v>
      </c>
    </row>
    <row r="369" spans="1:1" x14ac:dyDescent="0.35">
      <c r="A369" t="s">
        <v>3968</v>
      </c>
    </row>
    <row r="370" spans="1:1" x14ac:dyDescent="0.35">
      <c r="A370" t="s">
        <v>3969</v>
      </c>
    </row>
    <row r="371" spans="1:1" x14ac:dyDescent="0.35">
      <c r="A371" t="s">
        <v>3970</v>
      </c>
    </row>
    <row r="372" spans="1:1" x14ac:dyDescent="0.35">
      <c r="A372" t="s">
        <v>3971</v>
      </c>
    </row>
    <row r="373" spans="1:1" x14ac:dyDescent="0.35">
      <c r="A373" t="s">
        <v>3972</v>
      </c>
    </row>
    <row r="374" spans="1:1" x14ac:dyDescent="0.35">
      <c r="A374" t="s">
        <v>3973</v>
      </c>
    </row>
    <row r="375" spans="1:1" x14ac:dyDescent="0.35">
      <c r="A375" t="s">
        <v>3974</v>
      </c>
    </row>
    <row r="376" spans="1:1" x14ac:dyDescent="0.35">
      <c r="A376" t="s">
        <v>3975</v>
      </c>
    </row>
    <row r="377" spans="1:1" x14ac:dyDescent="0.35">
      <c r="A377" t="s">
        <v>3976</v>
      </c>
    </row>
    <row r="378" spans="1:1" x14ac:dyDescent="0.35">
      <c r="A378" t="s">
        <v>3977</v>
      </c>
    </row>
    <row r="379" spans="1:1" x14ac:dyDescent="0.35">
      <c r="A379" t="s">
        <v>3978</v>
      </c>
    </row>
    <row r="380" spans="1:1" x14ac:dyDescent="0.35">
      <c r="A380" t="s">
        <v>3979</v>
      </c>
    </row>
    <row r="381" spans="1:1" x14ac:dyDescent="0.35">
      <c r="A381" t="s">
        <v>3980</v>
      </c>
    </row>
    <row r="382" spans="1:1" x14ac:dyDescent="0.35">
      <c r="A382" t="s">
        <v>3981</v>
      </c>
    </row>
    <row r="383" spans="1:1" x14ac:dyDescent="0.35">
      <c r="A383" t="s">
        <v>3982</v>
      </c>
    </row>
    <row r="384" spans="1:1" x14ac:dyDescent="0.35">
      <c r="A384" t="s">
        <v>3983</v>
      </c>
    </row>
    <row r="385" spans="1:1" x14ac:dyDescent="0.35">
      <c r="A385" t="s">
        <v>3984</v>
      </c>
    </row>
    <row r="386" spans="1:1" x14ac:dyDescent="0.35">
      <c r="A386" t="s">
        <v>3985</v>
      </c>
    </row>
    <row r="387" spans="1:1" x14ac:dyDescent="0.35">
      <c r="A387" t="s">
        <v>3986</v>
      </c>
    </row>
    <row r="388" spans="1:1" x14ac:dyDescent="0.35">
      <c r="A388" t="s">
        <v>3987</v>
      </c>
    </row>
    <row r="389" spans="1:1" x14ac:dyDescent="0.35">
      <c r="A389" t="s">
        <v>3988</v>
      </c>
    </row>
    <row r="390" spans="1:1" x14ac:dyDescent="0.35">
      <c r="A390" t="s">
        <v>3989</v>
      </c>
    </row>
    <row r="391" spans="1:1" x14ac:dyDescent="0.35">
      <c r="A391" t="s">
        <v>3990</v>
      </c>
    </row>
    <row r="392" spans="1:1" x14ac:dyDescent="0.35">
      <c r="A392" t="s">
        <v>3991</v>
      </c>
    </row>
    <row r="393" spans="1:1" x14ac:dyDescent="0.35">
      <c r="A393" t="s">
        <v>3992</v>
      </c>
    </row>
    <row r="394" spans="1:1" x14ac:dyDescent="0.35">
      <c r="A394" t="s">
        <v>3993</v>
      </c>
    </row>
    <row r="395" spans="1:1" x14ac:dyDescent="0.35">
      <c r="A395" t="s">
        <v>3994</v>
      </c>
    </row>
    <row r="396" spans="1:1" x14ac:dyDescent="0.35">
      <c r="A396" t="s">
        <v>3995</v>
      </c>
    </row>
    <row r="397" spans="1:1" x14ac:dyDescent="0.35">
      <c r="A397" t="s">
        <v>3996</v>
      </c>
    </row>
    <row r="398" spans="1:1" x14ac:dyDescent="0.35">
      <c r="A398" t="s">
        <v>3997</v>
      </c>
    </row>
    <row r="399" spans="1:1" x14ac:dyDescent="0.35">
      <c r="A399" t="s">
        <v>3998</v>
      </c>
    </row>
    <row r="400" spans="1:1" x14ac:dyDescent="0.35">
      <c r="A400" t="s">
        <v>3999</v>
      </c>
    </row>
    <row r="401" spans="1:1" x14ac:dyDescent="0.35">
      <c r="A401" t="s">
        <v>4000</v>
      </c>
    </row>
    <row r="402" spans="1:1" x14ac:dyDescent="0.35">
      <c r="A402" t="s">
        <v>4001</v>
      </c>
    </row>
    <row r="403" spans="1:1" x14ac:dyDescent="0.35">
      <c r="A403" t="s">
        <v>4002</v>
      </c>
    </row>
    <row r="404" spans="1:1" x14ac:dyDescent="0.35">
      <c r="A404" t="s">
        <v>4003</v>
      </c>
    </row>
    <row r="405" spans="1:1" x14ac:dyDescent="0.35">
      <c r="A405" t="s">
        <v>4004</v>
      </c>
    </row>
    <row r="406" spans="1:1" x14ac:dyDescent="0.35">
      <c r="A406" t="s">
        <v>4005</v>
      </c>
    </row>
    <row r="407" spans="1:1" x14ac:dyDescent="0.35">
      <c r="A407" t="s">
        <v>4006</v>
      </c>
    </row>
    <row r="408" spans="1:1" x14ac:dyDescent="0.35">
      <c r="A408" t="s">
        <v>4007</v>
      </c>
    </row>
    <row r="409" spans="1:1" x14ac:dyDescent="0.35">
      <c r="A409" t="s">
        <v>4008</v>
      </c>
    </row>
    <row r="410" spans="1:1" x14ac:dyDescent="0.35">
      <c r="A410" t="s">
        <v>4009</v>
      </c>
    </row>
    <row r="411" spans="1:1" x14ac:dyDescent="0.35">
      <c r="A411" t="s">
        <v>4010</v>
      </c>
    </row>
    <row r="412" spans="1:1" x14ac:dyDescent="0.35">
      <c r="A412" t="s">
        <v>4011</v>
      </c>
    </row>
    <row r="413" spans="1:1" x14ac:dyDescent="0.35">
      <c r="A413" t="s">
        <v>4012</v>
      </c>
    </row>
    <row r="414" spans="1:1" x14ac:dyDescent="0.35">
      <c r="A414" t="s">
        <v>4013</v>
      </c>
    </row>
    <row r="415" spans="1:1" x14ac:dyDescent="0.35">
      <c r="A415" t="s">
        <v>4014</v>
      </c>
    </row>
    <row r="416" spans="1:1" x14ac:dyDescent="0.35">
      <c r="A416" t="s">
        <v>4015</v>
      </c>
    </row>
    <row r="417" spans="1:1" x14ac:dyDescent="0.35">
      <c r="A417" t="s">
        <v>4016</v>
      </c>
    </row>
    <row r="418" spans="1:1" x14ac:dyDescent="0.35">
      <c r="A418" t="s">
        <v>4017</v>
      </c>
    </row>
    <row r="419" spans="1:1" x14ac:dyDescent="0.35">
      <c r="A419" t="s">
        <v>4018</v>
      </c>
    </row>
    <row r="420" spans="1:1" x14ac:dyDescent="0.35">
      <c r="A420" t="s">
        <v>4019</v>
      </c>
    </row>
    <row r="421" spans="1:1" x14ac:dyDescent="0.35">
      <c r="A421" t="s">
        <v>4020</v>
      </c>
    </row>
    <row r="422" spans="1:1" x14ac:dyDescent="0.35">
      <c r="A422" t="s">
        <v>4021</v>
      </c>
    </row>
    <row r="423" spans="1:1" x14ac:dyDescent="0.35">
      <c r="A423" t="s">
        <v>4022</v>
      </c>
    </row>
    <row r="424" spans="1:1" x14ac:dyDescent="0.35">
      <c r="A424" t="s">
        <v>4023</v>
      </c>
    </row>
    <row r="425" spans="1:1" x14ac:dyDescent="0.35">
      <c r="A425" t="s">
        <v>4024</v>
      </c>
    </row>
    <row r="426" spans="1:1" x14ac:dyDescent="0.35">
      <c r="A426" t="s">
        <v>4025</v>
      </c>
    </row>
    <row r="427" spans="1:1" x14ac:dyDescent="0.35">
      <c r="A427" t="s">
        <v>4026</v>
      </c>
    </row>
    <row r="428" spans="1:1" x14ac:dyDescent="0.35">
      <c r="A428" t="s">
        <v>4027</v>
      </c>
    </row>
    <row r="429" spans="1:1" x14ac:dyDescent="0.35">
      <c r="A429" t="s">
        <v>4028</v>
      </c>
    </row>
    <row r="430" spans="1:1" x14ac:dyDescent="0.35">
      <c r="A430" t="s">
        <v>4029</v>
      </c>
    </row>
    <row r="431" spans="1:1" x14ac:dyDescent="0.35">
      <c r="A431" t="s">
        <v>4030</v>
      </c>
    </row>
    <row r="432" spans="1:1" x14ac:dyDescent="0.35">
      <c r="A432" t="s">
        <v>4031</v>
      </c>
    </row>
    <row r="433" spans="1:1" x14ac:dyDescent="0.35">
      <c r="A433" t="s">
        <v>4032</v>
      </c>
    </row>
    <row r="434" spans="1:1" x14ac:dyDescent="0.35">
      <c r="A434" t="s">
        <v>4033</v>
      </c>
    </row>
    <row r="435" spans="1:1" x14ac:dyDescent="0.35">
      <c r="A435" t="s">
        <v>4034</v>
      </c>
    </row>
    <row r="436" spans="1:1" x14ac:dyDescent="0.35">
      <c r="A436" t="s">
        <v>4035</v>
      </c>
    </row>
    <row r="437" spans="1:1" x14ac:dyDescent="0.35">
      <c r="A437" t="s">
        <v>4036</v>
      </c>
    </row>
    <row r="438" spans="1:1" x14ac:dyDescent="0.35">
      <c r="A438" t="s">
        <v>4037</v>
      </c>
    </row>
    <row r="439" spans="1:1" x14ac:dyDescent="0.35">
      <c r="A439" t="s">
        <v>4038</v>
      </c>
    </row>
    <row r="440" spans="1:1" x14ac:dyDescent="0.35">
      <c r="A440" t="s">
        <v>4039</v>
      </c>
    </row>
    <row r="441" spans="1:1" x14ac:dyDescent="0.35">
      <c r="A441" t="s">
        <v>4040</v>
      </c>
    </row>
    <row r="442" spans="1:1" x14ac:dyDescent="0.35">
      <c r="A442" t="s">
        <v>4041</v>
      </c>
    </row>
    <row r="443" spans="1:1" x14ac:dyDescent="0.35">
      <c r="A443" t="s">
        <v>4042</v>
      </c>
    </row>
    <row r="444" spans="1:1" x14ac:dyDescent="0.35">
      <c r="A444" t="s">
        <v>4043</v>
      </c>
    </row>
    <row r="445" spans="1:1" x14ac:dyDescent="0.35">
      <c r="A445" t="s">
        <v>4044</v>
      </c>
    </row>
    <row r="446" spans="1:1" x14ac:dyDescent="0.35">
      <c r="A446" t="s">
        <v>4045</v>
      </c>
    </row>
    <row r="447" spans="1:1" x14ac:dyDescent="0.35">
      <c r="A447" t="s">
        <v>4046</v>
      </c>
    </row>
    <row r="448" spans="1:1" x14ac:dyDescent="0.35">
      <c r="A448" t="s">
        <v>4047</v>
      </c>
    </row>
    <row r="449" spans="1:2" x14ac:dyDescent="0.35">
      <c r="A449" t="s">
        <v>4048</v>
      </c>
    </row>
    <row r="450" spans="1:2" x14ac:dyDescent="0.35">
      <c r="A450" t="s">
        <v>4049</v>
      </c>
    </row>
    <row r="451" spans="1:2" x14ac:dyDescent="0.35">
      <c r="A451" t="s">
        <v>4050</v>
      </c>
    </row>
    <row r="452" spans="1:2" x14ac:dyDescent="0.35">
      <c r="A452" t="s">
        <v>4051</v>
      </c>
    </row>
    <row r="453" spans="1:2" x14ac:dyDescent="0.35">
      <c r="A453" t="s">
        <v>4052</v>
      </c>
    </row>
    <row r="454" spans="1:2" x14ac:dyDescent="0.35">
      <c r="A454" t="s">
        <v>4053</v>
      </c>
    </row>
    <row r="455" spans="1:2" x14ac:dyDescent="0.35">
      <c r="A455" t="s">
        <v>4054</v>
      </c>
    </row>
    <row r="456" spans="1:2" x14ac:dyDescent="0.35">
      <c r="A456" t="s">
        <v>4055</v>
      </c>
    </row>
    <row r="457" spans="1:2" x14ac:dyDescent="0.35">
      <c r="A457" t="s">
        <v>4056</v>
      </c>
      <c r="B457">
        <v>1</v>
      </c>
    </row>
    <row r="458" spans="1:2" x14ac:dyDescent="0.35">
      <c r="A458" t="s">
        <v>4057</v>
      </c>
      <c r="B458">
        <v>1</v>
      </c>
    </row>
    <row r="459" spans="1:2" x14ac:dyDescent="0.35">
      <c r="A459" t="s">
        <v>4058</v>
      </c>
      <c r="B459">
        <v>1</v>
      </c>
    </row>
    <row r="460" spans="1:2" x14ac:dyDescent="0.35">
      <c r="A460" t="s">
        <v>4059</v>
      </c>
      <c r="B460">
        <v>1</v>
      </c>
    </row>
    <row r="461" spans="1:2" x14ac:dyDescent="0.35">
      <c r="A461" t="s">
        <v>4060</v>
      </c>
      <c r="B461">
        <v>1</v>
      </c>
    </row>
    <row r="462" spans="1:2" x14ac:dyDescent="0.35">
      <c r="A462" t="s">
        <v>4061</v>
      </c>
      <c r="B462">
        <v>1</v>
      </c>
    </row>
    <row r="463" spans="1:2" x14ac:dyDescent="0.35">
      <c r="A463" t="s">
        <v>4062</v>
      </c>
      <c r="B463">
        <v>1</v>
      </c>
    </row>
    <row r="464" spans="1:2" x14ac:dyDescent="0.35">
      <c r="A464" t="s">
        <v>4063</v>
      </c>
      <c r="B464">
        <v>1</v>
      </c>
    </row>
    <row r="465" spans="1:2" x14ac:dyDescent="0.35">
      <c r="A465" t="s">
        <v>4064</v>
      </c>
      <c r="B465">
        <v>1</v>
      </c>
    </row>
    <row r="466" spans="1:2" x14ac:dyDescent="0.35">
      <c r="A466" t="s">
        <v>4065</v>
      </c>
      <c r="B466">
        <v>1</v>
      </c>
    </row>
    <row r="467" spans="1:2" x14ac:dyDescent="0.35">
      <c r="A467" t="s">
        <v>4066</v>
      </c>
      <c r="B467">
        <v>1</v>
      </c>
    </row>
    <row r="468" spans="1:2" x14ac:dyDescent="0.35">
      <c r="A468" t="s">
        <v>4067</v>
      </c>
      <c r="B468">
        <v>1</v>
      </c>
    </row>
    <row r="469" spans="1:2" x14ac:dyDescent="0.35">
      <c r="A469" t="s">
        <v>4068</v>
      </c>
      <c r="B469">
        <v>1</v>
      </c>
    </row>
    <row r="470" spans="1:2" x14ac:dyDescent="0.35">
      <c r="A470" t="s">
        <v>4069</v>
      </c>
      <c r="B470">
        <v>1</v>
      </c>
    </row>
    <row r="471" spans="1:2" x14ac:dyDescent="0.35">
      <c r="A471" t="s">
        <v>4070</v>
      </c>
      <c r="B471">
        <v>1</v>
      </c>
    </row>
    <row r="472" spans="1:2" x14ac:dyDescent="0.35">
      <c r="A472" t="s">
        <v>4071</v>
      </c>
      <c r="B472">
        <v>1</v>
      </c>
    </row>
    <row r="473" spans="1:2" x14ac:dyDescent="0.35">
      <c r="A473" t="s">
        <v>4072</v>
      </c>
      <c r="B473">
        <v>1</v>
      </c>
    </row>
    <row r="474" spans="1:2" x14ac:dyDescent="0.35">
      <c r="A474" t="s">
        <v>4073</v>
      </c>
      <c r="B474">
        <v>1</v>
      </c>
    </row>
    <row r="475" spans="1:2" x14ac:dyDescent="0.35">
      <c r="A475" t="s">
        <v>4074</v>
      </c>
      <c r="B475">
        <v>1</v>
      </c>
    </row>
    <row r="476" spans="1:2" x14ac:dyDescent="0.35">
      <c r="A476" t="s">
        <v>4075</v>
      </c>
      <c r="B476">
        <v>1</v>
      </c>
    </row>
    <row r="477" spans="1:2" x14ac:dyDescent="0.35">
      <c r="A477" t="s">
        <v>4076</v>
      </c>
      <c r="B477">
        <v>1</v>
      </c>
    </row>
    <row r="478" spans="1:2" x14ac:dyDescent="0.35">
      <c r="A478" t="s">
        <v>4077</v>
      </c>
      <c r="B478">
        <v>1</v>
      </c>
    </row>
    <row r="479" spans="1:2" x14ac:dyDescent="0.35">
      <c r="A479" t="s">
        <v>4078</v>
      </c>
      <c r="B479">
        <v>1</v>
      </c>
    </row>
    <row r="480" spans="1:2" x14ac:dyDescent="0.35">
      <c r="A480" t="s">
        <v>4079</v>
      </c>
      <c r="B480">
        <v>1</v>
      </c>
    </row>
    <row r="481" spans="1:2" x14ac:dyDescent="0.35">
      <c r="A481" t="s">
        <v>4080</v>
      </c>
      <c r="B481">
        <v>1</v>
      </c>
    </row>
    <row r="482" spans="1:2" x14ac:dyDescent="0.35">
      <c r="A482" t="s">
        <v>4081</v>
      </c>
      <c r="B482">
        <v>1</v>
      </c>
    </row>
    <row r="483" spans="1:2" x14ac:dyDescent="0.35">
      <c r="A483" t="s">
        <v>4082</v>
      </c>
      <c r="B483">
        <v>1</v>
      </c>
    </row>
    <row r="484" spans="1:2" x14ac:dyDescent="0.35">
      <c r="A484" t="s">
        <v>4083</v>
      </c>
      <c r="B484">
        <v>1</v>
      </c>
    </row>
    <row r="485" spans="1:2" x14ac:dyDescent="0.35">
      <c r="A485" t="s">
        <v>4084</v>
      </c>
      <c r="B485">
        <v>1</v>
      </c>
    </row>
    <row r="486" spans="1:2" x14ac:dyDescent="0.35">
      <c r="A486" t="s">
        <v>4085</v>
      </c>
      <c r="B486">
        <v>1</v>
      </c>
    </row>
    <row r="487" spans="1:2" x14ac:dyDescent="0.35">
      <c r="A487" t="s">
        <v>4086</v>
      </c>
    </row>
    <row r="488" spans="1:2" x14ac:dyDescent="0.35">
      <c r="A488" t="s">
        <v>4087</v>
      </c>
    </row>
    <row r="489" spans="1:2" x14ac:dyDescent="0.35">
      <c r="A489" t="s">
        <v>4088</v>
      </c>
    </row>
    <row r="490" spans="1:2" x14ac:dyDescent="0.35">
      <c r="A490" t="s">
        <v>4089</v>
      </c>
    </row>
    <row r="491" spans="1:2" x14ac:dyDescent="0.35">
      <c r="A491" t="s">
        <v>4090</v>
      </c>
    </row>
    <row r="492" spans="1:2" x14ac:dyDescent="0.35">
      <c r="A492" t="s">
        <v>4091</v>
      </c>
    </row>
    <row r="493" spans="1:2" x14ac:dyDescent="0.35">
      <c r="A493" t="s">
        <v>4092</v>
      </c>
    </row>
    <row r="494" spans="1:2" x14ac:dyDescent="0.35">
      <c r="A494" t="s">
        <v>4093</v>
      </c>
    </row>
    <row r="495" spans="1:2" x14ac:dyDescent="0.35">
      <c r="A495" t="s">
        <v>4094</v>
      </c>
    </row>
    <row r="496" spans="1:2" x14ac:dyDescent="0.35">
      <c r="A496" t="s">
        <v>4095</v>
      </c>
    </row>
    <row r="497" spans="1:1" x14ac:dyDescent="0.35">
      <c r="A497" t="s">
        <v>4096</v>
      </c>
    </row>
    <row r="498" spans="1:1" x14ac:dyDescent="0.35">
      <c r="A498" t="s">
        <v>4097</v>
      </c>
    </row>
    <row r="499" spans="1:1" x14ac:dyDescent="0.35">
      <c r="A499" t="s">
        <v>4098</v>
      </c>
    </row>
    <row r="500" spans="1:1" x14ac:dyDescent="0.35">
      <c r="A500" t="s">
        <v>4099</v>
      </c>
    </row>
    <row r="501" spans="1:1" x14ac:dyDescent="0.35">
      <c r="A501" t="s">
        <v>4100</v>
      </c>
    </row>
    <row r="502" spans="1:1" x14ac:dyDescent="0.35">
      <c r="A502" t="s">
        <v>4101</v>
      </c>
    </row>
    <row r="503" spans="1:1" x14ac:dyDescent="0.35">
      <c r="A503" t="s">
        <v>4102</v>
      </c>
    </row>
    <row r="504" spans="1:1" x14ac:dyDescent="0.35">
      <c r="A504" t="s">
        <v>4103</v>
      </c>
    </row>
    <row r="505" spans="1:1" x14ac:dyDescent="0.35">
      <c r="A505" t="s">
        <v>4104</v>
      </c>
    </row>
    <row r="506" spans="1:1" x14ac:dyDescent="0.35">
      <c r="A506" t="s">
        <v>4105</v>
      </c>
    </row>
    <row r="507" spans="1:1" x14ac:dyDescent="0.35">
      <c r="A507" t="s">
        <v>4106</v>
      </c>
    </row>
    <row r="508" spans="1:1" x14ac:dyDescent="0.35">
      <c r="A508" t="s">
        <v>4107</v>
      </c>
    </row>
    <row r="509" spans="1:1" x14ac:dyDescent="0.35">
      <c r="A509" t="s">
        <v>4108</v>
      </c>
    </row>
    <row r="510" spans="1:1" x14ac:dyDescent="0.35">
      <c r="A510" t="s">
        <v>4109</v>
      </c>
    </row>
    <row r="511" spans="1:1" x14ac:dyDescent="0.35">
      <c r="A511" t="s">
        <v>4110</v>
      </c>
    </row>
    <row r="512" spans="1:1" x14ac:dyDescent="0.35">
      <c r="A512" t="s">
        <v>4111</v>
      </c>
    </row>
    <row r="513" spans="1:2" x14ac:dyDescent="0.35">
      <c r="A513" t="s">
        <v>4112</v>
      </c>
    </row>
    <row r="514" spans="1:2" x14ac:dyDescent="0.35">
      <c r="A514" t="s">
        <v>4113</v>
      </c>
    </row>
    <row r="515" spans="1:2" x14ac:dyDescent="0.35">
      <c r="A515" t="s">
        <v>4114</v>
      </c>
    </row>
    <row r="516" spans="1:2" x14ac:dyDescent="0.35">
      <c r="A516" t="s">
        <v>4115</v>
      </c>
    </row>
    <row r="517" spans="1:2" x14ac:dyDescent="0.35">
      <c r="A517" t="s">
        <v>4145</v>
      </c>
      <c r="B517">
        <v>0</v>
      </c>
    </row>
    <row r="518" spans="1:2" x14ac:dyDescent="0.35">
      <c r="A518" t="s">
        <v>4147</v>
      </c>
    </row>
    <row r="519" spans="1:2" x14ac:dyDescent="0.35">
      <c r="A519" t="s">
        <v>4150</v>
      </c>
    </row>
    <row r="520" spans="1:2" x14ac:dyDescent="0.35">
      <c r="A520" t="s">
        <v>4151</v>
      </c>
      <c r="B520">
        <v>5000</v>
      </c>
    </row>
    <row r="521" spans="1:2" x14ac:dyDescent="0.35">
      <c r="A521" t="s">
        <v>4152</v>
      </c>
    </row>
    <row r="522" spans="1:2" x14ac:dyDescent="0.35">
      <c r="A522" t="s">
        <v>4153</v>
      </c>
      <c r="B522">
        <v>1</v>
      </c>
    </row>
    <row r="523" spans="1:2" x14ac:dyDescent="0.35">
      <c r="A523" t="s">
        <v>4155</v>
      </c>
      <c r="B523">
        <v>2</v>
      </c>
    </row>
    <row r="524" spans="1:2" x14ac:dyDescent="0.35">
      <c r="A524" t="s">
        <v>4158</v>
      </c>
      <c r="B524">
        <v>0</v>
      </c>
    </row>
    <row r="525" spans="1:2" x14ac:dyDescent="0.35">
      <c r="A525" t="s">
        <v>4159</v>
      </c>
      <c r="B525">
        <v>0</v>
      </c>
    </row>
    <row r="526" spans="1:2" x14ac:dyDescent="0.35">
      <c r="A526" t="s">
        <v>4163</v>
      </c>
      <c r="B526">
        <v>2</v>
      </c>
    </row>
    <row r="527" spans="1:2" x14ac:dyDescent="0.35">
      <c r="A527" t="s">
        <v>4166</v>
      </c>
      <c r="B527">
        <v>0</v>
      </c>
    </row>
    <row r="528" spans="1:2" x14ac:dyDescent="0.35">
      <c r="A528" t="s">
        <v>4167</v>
      </c>
      <c r="B528">
        <v>0</v>
      </c>
    </row>
    <row r="529" spans="1:2" x14ac:dyDescent="0.35">
      <c r="A529" t="s">
        <v>4169</v>
      </c>
      <c r="B529">
        <v>5000</v>
      </c>
    </row>
    <row r="530" spans="1:2" x14ac:dyDescent="0.35">
      <c r="A530" t="s">
        <v>4171</v>
      </c>
      <c r="B530">
        <v>5000</v>
      </c>
    </row>
    <row r="531" spans="1:2" x14ac:dyDescent="0.35">
      <c r="A531" t="s">
        <v>4286</v>
      </c>
      <c r="B531">
        <v>1</v>
      </c>
    </row>
    <row r="532" spans="1:2" x14ac:dyDescent="0.35">
      <c r="A532" t="s">
        <v>4173</v>
      </c>
      <c r="B532">
        <v>5000</v>
      </c>
    </row>
    <row r="533" spans="1:2" x14ac:dyDescent="0.35">
      <c r="A533" t="s">
        <v>4183</v>
      </c>
      <c r="B533">
        <v>1</v>
      </c>
    </row>
    <row r="534" spans="1:2" x14ac:dyDescent="0.35">
      <c r="A534" t="s">
        <v>4184</v>
      </c>
      <c r="B534">
        <v>1</v>
      </c>
    </row>
    <row r="535" spans="1:2" x14ac:dyDescent="0.35">
      <c r="A535" t="s">
        <v>4185</v>
      </c>
      <c r="B535">
        <v>1</v>
      </c>
    </row>
    <row r="536" spans="1:2" x14ac:dyDescent="0.35">
      <c r="A536" t="s">
        <v>4186</v>
      </c>
      <c r="B536">
        <v>1</v>
      </c>
    </row>
    <row r="537" spans="1:2" x14ac:dyDescent="0.35">
      <c r="A537" t="s">
        <v>4187</v>
      </c>
      <c r="B537">
        <v>1</v>
      </c>
    </row>
    <row r="538" spans="1:2" x14ac:dyDescent="0.35">
      <c r="A538" t="s">
        <v>4188</v>
      </c>
      <c r="B538">
        <v>1</v>
      </c>
    </row>
    <row r="539" spans="1:2" x14ac:dyDescent="0.35">
      <c r="A539" t="s">
        <v>4189</v>
      </c>
      <c r="B539">
        <v>1</v>
      </c>
    </row>
    <row r="540" spans="1:2" x14ac:dyDescent="0.35">
      <c r="A540" t="s">
        <v>4190</v>
      </c>
      <c r="B540">
        <v>1</v>
      </c>
    </row>
    <row r="541" spans="1:2" x14ac:dyDescent="0.35">
      <c r="A541" t="s">
        <v>4191</v>
      </c>
      <c r="B541">
        <v>1</v>
      </c>
    </row>
    <row r="542" spans="1:2" x14ac:dyDescent="0.35">
      <c r="A542" t="s">
        <v>4201</v>
      </c>
      <c r="B542">
        <v>0</v>
      </c>
    </row>
    <row r="543" spans="1:2" x14ac:dyDescent="0.35">
      <c r="A543" t="s">
        <v>4202</v>
      </c>
      <c r="B543">
        <v>0</v>
      </c>
    </row>
    <row r="544" spans="1:2" x14ac:dyDescent="0.35">
      <c r="A544" t="s">
        <v>4203</v>
      </c>
      <c r="B544">
        <v>0</v>
      </c>
    </row>
    <row r="545" spans="1:2" x14ac:dyDescent="0.35">
      <c r="A545" t="s">
        <v>4204</v>
      </c>
      <c r="B545">
        <v>0</v>
      </c>
    </row>
    <row r="546" spans="1:2" x14ac:dyDescent="0.35">
      <c r="A546" t="s">
        <v>4205</v>
      </c>
      <c r="B546">
        <v>0</v>
      </c>
    </row>
    <row r="547" spans="1:2" x14ac:dyDescent="0.35">
      <c r="A547" t="s">
        <v>4206</v>
      </c>
      <c r="B547">
        <v>0</v>
      </c>
    </row>
    <row r="548" spans="1:2" x14ac:dyDescent="0.35">
      <c r="A548" t="s">
        <v>4207</v>
      </c>
      <c r="B548">
        <v>0</v>
      </c>
    </row>
    <row r="549" spans="1:2" x14ac:dyDescent="0.35">
      <c r="A549" t="s">
        <v>4208</v>
      </c>
      <c r="B549">
        <v>0</v>
      </c>
    </row>
    <row r="550" spans="1:2" x14ac:dyDescent="0.35">
      <c r="A550" t="s">
        <v>4209</v>
      </c>
      <c r="B550">
        <v>0</v>
      </c>
    </row>
    <row r="551" spans="1:2" x14ac:dyDescent="0.35">
      <c r="A551" t="s">
        <v>4212</v>
      </c>
    </row>
    <row r="552" spans="1:2" x14ac:dyDescent="0.35">
      <c r="A552" t="s">
        <v>4213</v>
      </c>
    </row>
    <row r="553" spans="1:2" x14ac:dyDescent="0.35">
      <c r="A553" t="s">
        <v>4215</v>
      </c>
      <c r="B553">
        <v>5000</v>
      </c>
    </row>
    <row r="554" spans="1:2" x14ac:dyDescent="0.35">
      <c r="A554" t="s">
        <v>4216</v>
      </c>
      <c r="B554">
        <v>5000</v>
      </c>
    </row>
    <row r="555" spans="1:2" x14ac:dyDescent="0.35">
      <c r="A555" t="s">
        <v>4218</v>
      </c>
      <c r="B555">
        <v>5000</v>
      </c>
    </row>
    <row r="556" spans="1:2" x14ac:dyDescent="0.35">
      <c r="A556" t="s">
        <v>4228</v>
      </c>
      <c r="B556">
        <v>0</v>
      </c>
    </row>
    <row r="557" spans="1:2" x14ac:dyDescent="0.35">
      <c r="A557" t="s">
        <v>4229</v>
      </c>
      <c r="B557">
        <v>0</v>
      </c>
    </row>
    <row r="558" spans="1:2" x14ac:dyDescent="0.35">
      <c r="A558" t="s">
        <v>4230</v>
      </c>
      <c r="B558">
        <v>0</v>
      </c>
    </row>
    <row r="559" spans="1:2" x14ac:dyDescent="0.35">
      <c r="A559" t="s">
        <v>4231</v>
      </c>
      <c r="B559">
        <v>0</v>
      </c>
    </row>
    <row r="560" spans="1:2" x14ac:dyDescent="0.35">
      <c r="A560" t="s">
        <v>4232</v>
      </c>
      <c r="B560">
        <v>0</v>
      </c>
    </row>
    <row r="561" spans="1:2" x14ac:dyDescent="0.35">
      <c r="A561" t="s">
        <v>4233</v>
      </c>
      <c r="B561">
        <v>0</v>
      </c>
    </row>
    <row r="562" spans="1:2" x14ac:dyDescent="0.35">
      <c r="A562" t="s">
        <v>4234</v>
      </c>
      <c r="B562">
        <v>0</v>
      </c>
    </row>
    <row r="563" spans="1:2" x14ac:dyDescent="0.35">
      <c r="A563" t="s">
        <v>4235</v>
      </c>
      <c r="B563">
        <v>0</v>
      </c>
    </row>
    <row r="564" spans="1:2" x14ac:dyDescent="0.35">
      <c r="A564" t="s">
        <v>4236</v>
      </c>
      <c r="B564">
        <v>0</v>
      </c>
    </row>
    <row r="565" spans="1:2" x14ac:dyDescent="0.35">
      <c r="A565" t="s">
        <v>4252</v>
      </c>
      <c r="B565">
        <v>1</v>
      </c>
    </row>
    <row r="566" spans="1:2" x14ac:dyDescent="0.35">
      <c r="A566" t="s">
        <v>4253</v>
      </c>
      <c r="B566">
        <v>1</v>
      </c>
    </row>
    <row r="567" spans="1:2" x14ac:dyDescent="0.35">
      <c r="A567" t="s">
        <v>4254</v>
      </c>
      <c r="B567">
        <v>1</v>
      </c>
    </row>
    <row r="568" spans="1:2" x14ac:dyDescent="0.35">
      <c r="A568" t="s">
        <v>4255</v>
      </c>
      <c r="B568">
        <v>1</v>
      </c>
    </row>
    <row r="569" spans="1:2" x14ac:dyDescent="0.35">
      <c r="A569" t="s">
        <v>4256</v>
      </c>
      <c r="B569">
        <v>1</v>
      </c>
    </row>
    <row r="570" spans="1:2" x14ac:dyDescent="0.35">
      <c r="A570" t="s">
        <v>4257</v>
      </c>
      <c r="B570">
        <v>1</v>
      </c>
    </row>
    <row r="571" spans="1:2" x14ac:dyDescent="0.35">
      <c r="A571" t="s">
        <v>4258</v>
      </c>
      <c r="B571">
        <v>1</v>
      </c>
    </row>
    <row r="572" spans="1:2" x14ac:dyDescent="0.35">
      <c r="A572" t="s">
        <v>4259</v>
      </c>
      <c r="B572">
        <v>1</v>
      </c>
    </row>
    <row r="573" spans="1:2" x14ac:dyDescent="0.35">
      <c r="A573" t="s">
        <v>4260</v>
      </c>
      <c r="B573">
        <v>1</v>
      </c>
    </row>
    <row r="574" spans="1:2" x14ac:dyDescent="0.35">
      <c r="A574" t="s">
        <v>4249</v>
      </c>
      <c r="B574">
        <v>1</v>
      </c>
    </row>
    <row r="575" spans="1:2" x14ac:dyDescent="0.35">
      <c r="A575" t="s">
        <v>4250</v>
      </c>
      <c r="B575">
        <v>1</v>
      </c>
    </row>
    <row r="576" spans="1:2" x14ac:dyDescent="0.35">
      <c r="A576" t="s">
        <v>4251</v>
      </c>
      <c r="B576">
        <v>1</v>
      </c>
    </row>
    <row r="577" spans="1:2" x14ac:dyDescent="0.35">
      <c r="A577" t="s">
        <v>4262</v>
      </c>
      <c r="B577" t="b">
        <v>0</v>
      </c>
    </row>
    <row r="578" spans="1:2" x14ac:dyDescent="0.35">
      <c r="A578" t="s">
        <v>4264</v>
      </c>
    </row>
    <row r="579" spans="1:2" x14ac:dyDescent="0.35">
      <c r="A579" t="s">
        <v>4274</v>
      </c>
      <c r="B579">
        <v>1</v>
      </c>
    </row>
    <row r="580" spans="1:2" x14ac:dyDescent="0.35">
      <c r="A580" t="s">
        <v>4275</v>
      </c>
      <c r="B580">
        <v>1</v>
      </c>
    </row>
    <row r="581" spans="1:2" x14ac:dyDescent="0.35">
      <c r="A581" t="s">
        <v>4276</v>
      </c>
      <c r="B581">
        <v>1</v>
      </c>
    </row>
    <row r="582" spans="1:2" x14ac:dyDescent="0.35">
      <c r="A582" t="s">
        <v>4277</v>
      </c>
      <c r="B582">
        <v>1</v>
      </c>
    </row>
    <row r="583" spans="1:2" x14ac:dyDescent="0.35">
      <c r="A583" t="s">
        <v>4278</v>
      </c>
      <c r="B583">
        <v>1</v>
      </c>
    </row>
    <row r="584" spans="1:2" x14ac:dyDescent="0.35">
      <c r="A584" t="s">
        <v>4279</v>
      </c>
      <c r="B584">
        <v>1</v>
      </c>
    </row>
    <row r="585" spans="1:2" x14ac:dyDescent="0.35">
      <c r="A585" t="s">
        <v>4280</v>
      </c>
      <c r="B585">
        <v>1</v>
      </c>
    </row>
    <row r="586" spans="1:2" x14ac:dyDescent="0.35">
      <c r="A586" t="s">
        <v>4281</v>
      </c>
      <c r="B586">
        <v>1</v>
      </c>
    </row>
    <row r="587" spans="1:2" x14ac:dyDescent="0.35">
      <c r="A587" t="s">
        <v>4282</v>
      </c>
      <c r="B587">
        <v>1</v>
      </c>
    </row>
    <row r="588" spans="1:2" x14ac:dyDescent="0.35">
      <c r="A588" t="s">
        <v>4284</v>
      </c>
      <c r="B588">
        <v>5000</v>
      </c>
    </row>
    <row r="589" spans="1:2" x14ac:dyDescent="0.35">
      <c r="A589" t="s">
        <v>4288</v>
      </c>
      <c r="B589">
        <v>5000</v>
      </c>
    </row>
    <row r="590" spans="1:2" x14ac:dyDescent="0.35">
      <c r="A590" t="s">
        <v>4290</v>
      </c>
      <c r="B590">
        <v>5000</v>
      </c>
    </row>
    <row r="591" spans="1:2" x14ac:dyDescent="0.35">
      <c r="A591" t="s">
        <v>4306</v>
      </c>
      <c r="B591">
        <v>0</v>
      </c>
    </row>
    <row r="592" spans="1:2" x14ac:dyDescent="0.35">
      <c r="A592" t="s">
        <v>4307</v>
      </c>
      <c r="B592">
        <v>0</v>
      </c>
    </row>
    <row r="593" spans="1:2" x14ac:dyDescent="0.35">
      <c r="A593" t="s">
        <v>4308</v>
      </c>
      <c r="B593">
        <v>0</v>
      </c>
    </row>
    <row r="594" spans="1:2" x14ac:dyDescent="0.35">
      <c r="A594" t="s">
        <v>4309</v>
      </c>
      <c r="B594">
        <v>0</v>
      </c>
    </row>
    <row r="595" spans="1:2" x14ac:dyDescent="0.35">
      <c r="A595" t="s">
        <v>4310</v>
      </c>
      <c r="B595">
        <v>0</v>
      </c>
    </row>
    <row r="596" spans="1:2" x14ac:dyDescent="0.35">
      <c r="A596" t="s">
        <v>4311</v>
      </c>
      <c r="B596">
        <v>0</v>
      </c>
    </row>
    <row r="597" spans="1:2" x14ac:dyDescent="0.35">
      <c r="A597" t="s">
        <v>4312</v>
      </c>
      <c r="B597">
        <v>0</v>
      </c>
    </row>
    <row r="598" spans="1:2" x14ac:dyDescent="0.35">
      <c r="A598" t="s">
        <v>4313</v>
      </c>
      <c r="B598">
        <v>0</v>
      </c>
    </row>
    <row r="599" spans="1:2" x14ac:dyDescent="0.35">
      <c r="A599" t="s">
        <v>4314</v>
      </c>
      <c r="B599">
        <v>0</v>
      </c>
    </row>
    <row r="600" spans="1:2" x14ac:dyDescent="0.35">
      <c r="A600" t="s">
        <v>4303</v>
      </c>
      <c r="B600">
        <v>0</v>
      </c>
    </row>
    <row r="601" spans="1:2" x14ac:dyDescent="0.35">
      <c r="A601" t="s">
        <v>4304</v>
      </c>
      <c r="B601">
        <v>0</v>
      </c>
    </row>
    <row r="602" spans="1:2" x14ac:dyDescent="0.35">
      <c r="A602" t="s">
        <v>4305</v>
      </c>
      <c r="B602">
        <v>0</v>
      </c>
    </row>
    <row r="603" spans="1:2" x14ac:dyDescent="0.35">
      <c r="A603" t="s">
        <v>4325</v>
      </c>
    </row>
    <row r="604" spans="1:2" x14ac:dyDescent="0.35">
      <c r="A604" t="s">
        <v>4335</v>
      </c>
      <c r="B604">
        <v>2</v>
      </c>
    </row>
    <row r="605" spans="1:2" x14ac:dyDescent="0.35">
      <c r="A605" t="s">
        <v>4336</v>
      </c>
      <c r="B605">
        <v>1</v>
      </c>
    </row>
    <row r="606" spans="1:2" x14ac:dyDescent="0.35">
      <c r="A606" t="s">
        <v>4337</v>
      </c>
      <c r="B606">
        <v>1</v>
      </c>
    </row>
    <row r="607" spans="1:2" x14ac:dyDescent="0.35">
      <c r="A607" t="s">
        <v>4338</v>
      </c>
      <c r="B607">
        <v>1</v>
      </c>
    </row>
    <row r="608" spans="1:2" x14ac:dyDescent="0.35">
      <c r="A608" t="s">
        <v>4339</v>
      </c>
      <c r="B608">
        <v>1</v>
      </c>
    </row>
    <row r="609" spans="1:2" x14ac:dyDescent="0.35">
      <c r="A609" t="s">
        <v>4340</v>
      </c>
      <c r="B609">
        <v>1</v>
      </c>
    </row>
    <row r="610" spans="1:2" x14ac:dyDescent="0.35">
      <c r="A610" t="s">
        <v>4341</v>
      </c>
      <c r="B610">
        <v>1</v>
      </c>
    </row>
    <row r="611" spans="1:2" x14ac:dyDescent="0.35">
      <c r="A611" t="s">
        <v>4342</v>
      </c>
      <c r="B611">
        <v>1</v>
      </c>
    </row>
    <row r="612" spans="1:2" x14ac:dyDescent="0.35">
      <c r="A612" t="s">
        <v>4343</v>
      </c>
      <c r="B612">
        <v>1</v>
      </c>
    </row>
    <row r="613" spans="1:2" x14ac:dyDescent="0.35">
      <c r="A613" t="s">
        <v>4130</v>
      </c>
      <c r="B613">
        <v>1</v>
      </c>
    </row>
    <row r="614" spans="1:2" x14ac:dyDescent="0.35">
      <c r="A614" t="s">
        <v>4131</v>
      </c>
      <c r="B614">
        <v>0</v>
      </c>
    </row>
    <row r="615" spans="1:2" x14ac:dyDescent="0.35">
      <c r="A615" t="s">
        <v>4136</v>
      </c>
      <c r="B615">
        <v>0</v>
      </c>
    </row>
    <row r="616" spans="1:2" x14ac:dyDescent="0.35">
      <c r="A616" t="s">
        <v>4137</v>
      </c>
      <c r="B616">
        <v>0</v>
      </c>
    </row>
    <row r="617" spans="1:2" x14ac:dyDescent="0.35">
      <c r="A617" t="s">
        <v>4138</v>
      </c>
      <c r="B617">
        <v>0</v>
      </c>
    </row>
    <row r="618" spans="1:2" x14ac:dyDescent="0.35">
      <c r="A618" t="s">
        <v>4139</v>
      </c>
      <c r="B618">
        <v>0</v>
      </c>
    </row>
    <row r="619" spans="1:2" x14ac:dyDescent="0.35">
      <c r="A619" t="s">
        <v>4140</v>
      </c>
      <c r="B619">
        <v>0</v>
      </c>
    </row>
    <row r="620" spans="1:2" x14ac:dyDescent="0.35">
      <c r="A620" t="s">
        <v>4141</v>
      </c>
      <c r="B620">
        <v>0</v>
      </c>
    </row>
    <row r="621" spans="1:2" x14ac:dyDescent="0.35">
      <c r="A621" t="s">
        <v>4142</v>
      </c>
      <c r="B621">
        <v>0</v>
      </c>
    </row>
    <row r="622" spans="1:2" x14ac:dyDescent="0.35">
      <c r="A622" t="s">
        <v>4143</v>
      </c>
      <c r="B622">
        <v>0</v>
      </c>
    </row>
    <row r="623" spans="1:2" x14ac:dyDescent="0.35">
      <c r="A623" t="s">
        <v>4132</v>
      </c>
      <c r="B623" t="b">
        <v>0</v>
      </c>
    </row>
    <row r="624" spans="1:2" x14ac:dyDescent="0.35">
      <c r="A624" t="s">
        <v>4133</v>
      </c>
      <c r="B624" t="b">
        <v>0</v>
      </c>
    </row>
    <row r="625" spans="1:2" x14ac:dyDescent="0.35">
      <c r="A625" t="s">
        <v>4134</v>
      </c>
      <c r="B625" t="b">
        <v>0</v>
      </c>
    </row>
    <row r="626" spans="1:2" x14ac:dyDescent="0.35">
      <c r="A626" t="s">
        <v>4135</v>
      </c>
      <c r="B626" t="b">
        <v>0</v>
      </c>
    </row>
    <row r="627" spans="1:2" x14ac:dyDescent="0.35">
      <c r="A627" t="s">
        <v>4347</v>
      </c>
      <c r="B627">
        <v>1</v>
      </c>
    </row>
    <row r="628" spans="1:2" x14ac:dyDescent="0.35">
      <c r="A628" t="s">
        <v>4349</v>
      </c>
    </row>
    <row r="629" spans="1:2" x14ac:dyDescent="0.35">
      <c r="A629" t="s">
        <v>3280</v>
      </c>
    </row>
    <row r="630" spans="1:2" x14ac:dyDescent="0.35">
      <c r="A630" t="s">
        <v>3281</v>
      </c>
    </row>
    <row r="631" spans="1:2" x14ac:dyDescent="0.35">
      <c r="A631" t="s">
        <v>3097</v>
      </c>
    </row>
    <row r="632" spans="1:2" x14ac:dyDescent="0.35">
      <c r="A632" t="s">
        <v>3098</v>
      </c>
    </row>
    <row r="633" spans="1:2" x14ac:dyDescent="0.35">
      <c r="A633" t="s">
        <v>3099</v>
      </c>
    </row>
    <row r="634" spans="1:2" x14ac:dyDescent="0.35">
      <c r="A634" t="s">
        <v>3100</v>
      </c>
    </row>
    <row r="635" spans="1:2" x14ac:dyDescent="0.35">
      <c r="A635" t="s">
        <v>3101</v>
      </c>
    </row>
    <row r="636" spans="1:2" x14ac:dyDescent="0.35">
      <c r="A636" t="s">
        <v>3102</v>
      </c>
    </row>
    <row r="637" spans="1:2" x14ac:dyDescent="0.35">
      <c r="A637" t="s">
        <v>3103</v>
      </c>
    </row>
    <row r="638" spans="1:2" x14ac:dyDescent="0.35">
      <c r="A638" t="s">
        <v>3104</v>
      </c>
    </row>
    <row r="639" spans="1:2" x14ac:dyDescent="0.35">
      <c r="A639" t="s">
        <v>3105</v>
      </c>
    </row>
    <row r="640" spans="1:2" x14ac:dyDescent="0.35">
      <c r="A640" t="s">
        <v>3106</v>
      </c>
    </row>
    <row r="641" spans="1:1" x14ac:dyDescent="0.35">
      <c r="A641" t="s">
        <v>3107</v>
      </c>
    </row>
    <row r="642" spans="1:1" x14ac:dyDescent="0.35">
      <c r="A642" t="s">
        <v>3108</v>
      </c>
    </row>
    <row r="643" spans="1:1" x14ac:dyDescent="0.35">
      <c r="A643" t="s">
        <v>3109</v>
      </c>
    </row>
    <row r="644" spans="1:1" x14ac:dyDescent="0.35">
      <c r="A644" t="s">
        <v>3110</v>
      </c>
    </row>
    <row r="645" spans="1:1" x14ac:dyDescent="0.35">
      <c r="A645" t="s">
        <v>3111</v>
      </c>
    </row>
    <row r="646" spans="1:1" x14ac:dyDescent="0.35">
      <c r="A646" t="s">
        <v>3112</v>
      </c>
    </row>
    <row r="647" spans="1:1" x14ac:dyDescent="0.35">
      <c r="A647" t="s">
        <v>3113</v>
      </c>
    </row>
    <row r="648" spans="1:1" x14ac:dyDescent="0.35">
      <c r="A648" t="s">
        <v>3114</v>
      </c>
    </row>
    <row r="649" spans="1:1" x14ac:dyDescent="0.35">
      <c r="A649" t="s">
        <v>3115</v>
      </c>
    </row>
    <row r="650" spans="1:1" x14ac:dyDescent="0.35">
      <c r="A650" t="s">
        <v>3116</v>
      </c>
    </row>
    <row r="651" spans="1:1" x14ac:dyDescent="0.35">
      <c r="A651" t="s">
        <v>3117</v>
      </c>
    </row>
    <row r="652" spans="1:1" x14ac:dyDescent="0.35">
      <c r="A652" t="s">
        <v>3118</v>
      </c>
    </row>
    <row r="653" spans="1:1" x14ac:dyDescent="0.35">
      <c r="A653" t="s">
        <v>3119</v>
      </c>
    </row>
    <row r="654" spans="1:1" x14ac:dyDescent="0.35">
      <c r="A654" t="s">
        <v>3120</v>
      </c>
    </row>
    <row r="655" spans="1:1" x14ac:dyDescent="0.35">
      <c r="A655" t="s">
        <v>3121</v>
      </c>
    </row>
    <row r="656" spans="1:1" x14ac:dyDescent="0.35">
      <c r="A656" t="s">
        <v>3122</v>
      </c>
    </row>
    <row r="657" spans="1:1" x14ac:dyDescent="0.35">
      <c r="A657" t="s">
        <v>3123</v>
      </c>
    </row>
    <row r="658" spans="1:1" x14ac:dyDescent="0.35">
      <c r="A658" t="s">
        <v>3124</v>
      </c>
    </row>
    <row r="659" spans="1:1" x14ac:dyDescent="0.35">
      <c r="A659" t="s">
        <v>3125</v>
      </c>
    </row>
    <row r="660" spans="1:1" x14ac:dyDescent="0.35">
      <c r="A660" t="s">
        <v>3126</v>
      </c>
    </row>
    <row r="661" spans="1:1" x14ac:dyDescent="0.35">
      <c r="A661" t="s">
        <v>3127</v>
      </c>
    </row>
    <row r="662" spans="1:1" x14ac:dyDescent="0.35">
      <c r="A662" t="s">
        <v>3128</v>
      </c>
    </row>
    <row r="663" spans="1:1" x14ac:dyDescent="0.35">
      <c r="A663" t="s">
        <v>3129</v>
      </c>
    </row>
    <row r="664" spans="1:1" x14ac:dyDescent="0.35">
      <c r="A664" t="s">
        <v>3130</v>
      </c>
    </row>
    <row r="665" spans="1:1" x14ac:dyDescent="0.35">
      <c r="A665" t="s">
        <v>3131</v>
      </c>
    </row>
    <row r="666" spans="1:1" x14ac:dyDescent="0.35">
      <c r="A666" t="s">
        <v>3132</v>
      </c>
    </row>
    <row r="667" spans="1:1" x14ac:dyDescent="0.35">
      <c r="A667" t="s">
        <v>3133</v>
      </c>
    </row>
    <row r="668" spans="1:1" x14ac:dyDescent="0.35">
      <c r="A668" t="s">
        <v>3134</v>
      </c>
    </row>
    <row r="669" spans="1:1" x14ac:dyDescent="0.35">
      <c r="A669" t="s">
        <v>3135</v>
      </c>
    </row>
    <row r="670" spans="1:1" x14ac:dyDescent="0.35">
      <c r="A670" t="s">
        <v>3136</v>
      </c>
    </row>
    <row r="671" spans="1:1" x14ac:dyDescent="0.35">
      <c r="A671" t="s">
        <v>3137</v>
      </c>
    </row>
    <row r="672" spans="1:1" x14ac:dyDescent="0.35">
      <c r="A672" t="s">
        <v>3138</v>
      </c>
    </row>
    <row r="673" spans="1:1" x14ac:dyDescent="0.35">
      <c r="A673" t="s">
        <v>3139</v>
      </c>
    </row>
    <row r="674" spans="1:1" x14ac:dyDescent="0.35">
      <c r="A674" t="s">
        <v>3140</v>
      </c>
    </row>
    <row r="675" spans="1:1" x14ac:dyDescent="0.35">
      <c r="A675" t="s">
        <v>3141</v>
      </c>
    </row>
    <row r="676" spans="1:1" x14ac:dyDescent="0.35">
      <c r="A676" t="s">
        <v>3142</v>
      </c>
    </row>
    <row r="677" spans="1:1" x14ac:dyDescent="0.35">
      <c r="A677" t="s">
        <v>3143</v>
      </c>
    </row>
    <row r="678" spans="1:1" x14ac:dyDescent="0.35">
      <c r="A678" t="s">
        <v>3144</v>
      </c>
    </row>
    <row r="679" spans="1:1" x14ac:dyDescent="0.35">
      <c r="A679" t="s">
        <v>3145</v>
      </c>
    </row>
    <row r="680" spans="1:1" x14ac:dyDescent="0.35">
      <c r="A680" t="s">
        <v>3146</v>
      </c>
    </row>
    <row r="681" spans="1:1" x14ac:dyDescent="0.35">
      <c r="A681" t="s">
        <v>3147</v>
      </c>
    </row>
    <row r="682" spans="1:1" x14ac:dyDescent="0.35">
      <c r="A682" t="s">
        <v>3148</v>
      </c>
    </row>
    <row r="683" spans="1:1" x14ac:dyDescent="0.35">
      <c r="A683" t="s">
        <v>3149</v>
      </c>
    </row>
    <row r="684" spans="1:1" x14ac:dyDescent="0.35">
      <c r="A684" t="s">
        <v>3150</v>
      </c>
    </row>
    <row r="685" spans="1:1" x14ac:dyDescent="0.35">
      <c r="A685" t="s">
        <v>3151</v>
      </c>
    </row>
    <row r="686" spans="1:1" x14ac:dyDescent="0.35">
      <c r="A686" t="s">
        <v>3152</v>
      </c>
    </row>
    <row r="687" spans="1:1" x14ac:dyDescent="0.35">
      <c r="A687" t="s">
        <v>3153</v>
      </c>
    </row>
    <row r="688" spans="1:1" x14ac:dyDescent="0.35">
      <c r="A688" t="s">
        <v>3154</v>
      </c>
    </row>
    <row r="689" spans="1:1" x14ac:dyDescent="0.35">
      <c r="A689" t="s">
        <v>3155</v>
      </c>
    </row>
    <row r="690" spans="1:1" x14ac:dyDescent="0.35">
      <c r="A690" t="s">
        <v>3156</v>
      </c>
    </row>
    <row r="691" spans="1:1" x14ac:dyDescent="0.35">
      <c r="A691" t="s">
        <v>3157</v>
      </c>
    </row>
    <row r="692" spans="1:1" x14ac:dyDescent="0.35">
      <c r="A692" t="s">
        <v>3158</v>
      </c>
    </row>
    <row r="693" spans="1:1" x14ac:dyDescent="0.35">
      <c r="A693" t="s">
        <v>3159</v>
      </c>
    </row>
    <row r="694" spans="1:1" x14ac:dyDescent="0.35">
      <c r="A694" t="s">
        <v>3160</v>
      </c>
    </row>
    <row r="695" spans="1:1" x14ac:dyDescent="0.35">
      <c r="A695" t="s">
        <v>3161</v>
      </c>
    </row>
    <row r="696" spans="1:1" x14ac:dyDescent="0.35">
      <c r="A696" t="s">
        <v>3162</v>
      </c>
    </row>
    <row r="697" spans="1:1" x14ac:dyDescent="0.35">
      <c r="A697" t="s">
        <v>3163</v>
      </c>
    </row>
    <row r="698" spans="1:1" x14ac:dyDescent="0.35">
      <c r="A698" t="s">
        <v>3164</v>
      </c>
    </row>
    <row r="699" spans="1:1" x14ac:dyDescent="0.35">
      <c r="A699" t="s">
        <v>3165</v>
      </c>
    </row>
    <row r="700" spans="1:1" x14ac:dyDescent="0.35">
      <c r="A700" t="s">
        <v>3166</v>
      </c>
    </row>
    <row r="701" spans="1:1" x14ac:dyDescent="0.35">
      <c r="A701" t="s">
        <v>3167</v>
      </c>
    </row>
    <row r="702" spans="1:1" x14ac:dyDescent="0.35">
      <c r="A702" t="s">
        <v>3168</v>
      </c>
    </row>
    <row r="703" spans="1:1" x14ac:dyDescent="0.35">
      <c r="A703" t="s">
        <v>3169</v>
      </c>
    </row>
    <row r="704" spans="1:1" x14ac:dyDescent="0.35">
      <c r="A704" t="s">
        <v>3170</v>
      </c>
    </row>
    <row r="705" spans="1:1" x14ac:dyDescent="0.35">
      <c r="A705" t="s">
        <v>3171</v>
      </c>
    </row>
    <row r="706" spans="1:1" x14ac:dyDescent="0.35">
      <c r="A706" t="s">
        <v>3172</v>
      </c>
    </row>
    <row r="707" spans="1:1" x14ac:dyDescent="0.35">
      <c r="A707" t="s">
        <v>3173</v>
      </c>
    </row>
    <row r="708" spans="1:1" x14ac:dyDescent="0.35">
      <c r="A708" t="s">
        <v>3174</v>
      </c>
    </row>
    <row r="709" spans="1:1" x14ac:dyDescent="0.35">
      <c r="A709" t="s">
        <v>3175</v>
      </c>
    </row>
    <row r="710" spans="1:1" x14ac:dyDescent="0.35">
      <c r="A710" t="s">
        <v>3176</v>
      </c>
    </row>
    <row r="711" spans="1:1" x14ac:dyDescent="0.35">
      <c r="A711" t="s">
        <v>3177</v>
      </c>
    </row>
    <row r="712" spans="1:1" x14ac:dyDescent="0.35">
      <c r="A712" t="s">
        <v>3178</v>
      </c>
    </row>
    <row r="713" spans="1:1" x14ac:dyDescent="0.35">
      <c r="A713" t="s">
        <v>3179</v>
      </c>
    </row>
    <row r="714" spans="1:1" x14ac:dyDescent="0.35">
      <c r="A714" t="s">
        <v>3180</v>
      </c>
    </row>
    <row r="715" spans="1:1" x14ac:dyDescent="0.35">
      <c r="A715" t="s">
        <v>3181</v>
      </c>
    </row>
    <row r="716" spans="1:1" x14ac:dyDescent="0.35">
      <c r="A716" t="s">
        <v>3182</v>
      </c>
    </row>
    <row r="717" spans="1:1" x14ac:dyDescent="0.35">
      <c r="A717" t="s">
        <v>3096</v>
      </c>
    </row>
    <row r="718" spans="1:1" x14ac:dyDescent="0.35">
      <c r="A718" t="s">
        <v>3183</v>
      </c>
    </row>
    <row r="719" spans="1:1" x14ac:dyDescent="0.35">
      <c r="A719" t="s">
        <v>3184</v>
      </c>
    </row>
    <row r="720" spans="1:1" x14ac:dyDescent="0.35">
      <c r="A720" t="s">
        <v>3185</v>
      </c>
    </row>
    <row r="721" spans="1:1" x14ac:dyDescent="0.35">
      <c r="A721" t="s">
        <v>3186</v>
      </c>
    </row>
    <row r="722" spans="1:1" x14ac:dyDescent="0.35">
      <c r="A722" t="s">
        <v>3187</v>
      </c>
    </row>
    <row r="723" spans="1:1" x14ac:dyDescent="0.35">
      <c r="A723" t="s">
        <v>3188</v>
      </c>
    </row>
    <row r="724" spans="1:1" x14ac:dyDescent="0.35">
      <c r="A724" t="s">
        <v>3189</v>
      </c>
    </row>
    <row r="725" spans="1:1" x14ac:dyDescent="0.35">
      <c r="A725" t="s">
        <v>3190</v>
      </c>
    </row>
    <row r="726" spans="1:1" x14ac:dyDescent="0.35">
      <c r="A726" t="s">
        <v>3191</v>
      </c>
    </row>
    <row r="727" spans="1:1" x14ac:dyDescent="0.35">
      <c r="A727" t="s">
        <v>3192</v>
      </c>
    </row>
    <row r="728" spans="1:1" x14ac:dyDescent="0.35">
      <c r="A728" t="s">
        <v>3193</v>
      </c>
    </row>
    <row r="729" spans="1:1" x14ac:dyDescent="0.35">
      <c r="A729" t="s">
        <v>3194</v>
      </c>
    </row>
    <row r="730" spans="1:1" x14ac:dyDescent="0.35">
      <c r="A730" t="s">
        <v>3195</v>
      </c>
    </row>
    <row r="731" spans="1:1" x14ac:dyDescent="0.35">
      <c r="A731" t="s">
        <v>3196</v>
      </c>
    </row>
    <row r="732" spans="1:1" x14ac:dyDescent="0.35">
      <c r="A732" t="s">
        <v>3197</v>
      </c>
    </row>
    <row r="733" spans="1:1" x14ac:dyDescent="0.35">
      <c r="A733" t="s">
        <v>3198</v>
      </c>
    </row>
    <row r="734" spans="1:1" x14ac:dyDescent="0.35">
      <c r="A734" t="s">
        <v>3199</v>
      </c>
    </row>
    <row r="735" spans="1:1" x14ac:dyDescent="0.35">
      <c r="A735" t="s">
        <v>3200</v>
      </c>
    </row>
    <row r="736" spans="1:1" x14ac:dyDescent="0.35">
      <c r="A736" t="s">
        <v>3201</v>
      </c>
    </row>
    <row r="737" spans="1:2" x14ac:dyDescent="0.35">
      <c r="A737" t="s">
        <v>3202</v>
      </c>
    </row>
    <row r="738" spans="1:2" x14ac:dyDescent="0.35">
      <c r="A738" t="s">
        <v>3203</v>
      </c>
    </row>
    <row r="739" spans="1:2" x14ac:dyDescent="0.35">
      <c r="A739" t="s">
        <v>3204</v>
      </c>
    </row>
    <row r="740" spans="1:2" x14ac:dyDescent="0.35">
      <c r="A740" t="s">
        <v>3205</v>
      </c>
    </row>
    <row r="741" spans="1:2" x14ac:dyDescent="0.35">
      <c r="A741" t="s">
        <v>3206</v>
      </c>
    </row>
    <row r="742" spans="1:2" x14ac:dyDescent="0.35">
      <c r="A742" t="s">
        <v>3207</v>
      </c>
    </row>
    <row r="743" spans="1:2" x14ac:dyDescent="0.35">
      <c r="A743" t="s">
        <v>3208</v>
      </c>
      <c r="B743">
        <v>50</v>
      </c>
    </row>
    <row r="744" spans="1:2" x14ac:dyDescent="0.35">
      <c r="A744" t="s">
        <v>3209</v>
      </c>
    </row>
    <row r="745" spans="1:2" x14ac:dyDescent="0.35">
      <c r="A745" t="s">
        <v>3038</v>
      </c>
      <c r="B745">
        <v>50</v>
      </c>
    </row>
    <row r="746" spans="1:2" x14ac:dyDescent="0.35">
      <c r="A746" t="s">
        <v>4144</v>
      </c>
      <c r="B746">
        <v>0</v>
      </c>
    </row>
    <row r="747" spans="1:2" x14ac:dyDescent="0.35">
      <c r="A747" t="s">
        <v>4146</v>
      </c>
    </row>
    <row r="748" spans="1:2" x14ac:dyDescent="0.35">
      <c r="A748" t="s">
        <v>4148</v>
      </c>
    </row>
    <row r="749" spans="1:2" x14ac:dyDescent="0.35">
      <c r="A749" t="s">
        <v>4149</v>
      </c>
      <c r="B749">
        <v>1</v>
      </c>
    </row>
    <row r="750" spans="1:2" x14ac:dyDescent="0.35">
      <c r="A750" t="s">
        <v>4154</v>
      </c>
      <c r="B750">
        <v>2</v>
      </c>
    </row>
    <row r="751" spans="1:2" x14ac:dyDescent="0.35">
      <c r="A751" t="s">
        <v>4156</v>
      </c>
      <c r="B751">
        <v>0</v>
      </c>
    </row>
    <row r="752" spans="1:2" x14ac:dyDescent="0.35">
      <c r="A752" t="s">
        <v>4157</v>
      </c>
      <c r="B752">
        <v>0</v>
      </c>
    </row>
    <row r="753" spans="1:2" x14ac:dyDescent="0.35">
      <c r="A753" t="s">
        <v>4160</v>
      </c>
    </row>
    <row r="754" spans="1:2" x14ac:dyDescent="0.35">
      <c r="A754" t="s">
        <v>4161</v>
      </c>
    </row>
    <row r="755" spans="1:2" x14ac:dyDescent="0.35">
      <c r="A755" t="s">
        <v>4162</v>
      </c>
      <c r="B755">
        <v>2</v>
      </c>
    </row>
    <row r="756" spans="1:2" x14ac:dyDescent="0.35">
      <c r="A756" t="s">
        <v>4164</v>
      </c>
      <c r="B756">
        <v>0</v>
      </c>
    </row>
    <row r="757" spans="1:2" x14ac:dyDescent="0.35">
      <c r="A757" t="s">
        <v>4165</v>
      </c>
      <c r="B757">
        <v>0</v>
      </c>
    </row>
    <row r="758" spans="1:2" x14ac:dyDescent="0.35">
      <c r="A758" t="s">
        <v>4168</v>
      </c>
      <c r="B758">
        <v>5000</v>
      </c>
    </row>
    <row r="759" spans="1:2" x14ac:dyDescent="0.35">
      <c r="A759" t="s">
        <v>4170</v>
      </c>
      <c r="B759">
        <v>5000</v>
      </c>
    </row>
    <row r="760" spans="1:2" x14ac:dyDescent="0.35">
      <c r="A760" t="s">
        <v>4285</v>
      </c>
      <c r="B760">
        <v>1</v>
      </c>
    </row>
    <row r="761" spans="1:2" x14ac:dyDescent="0.35">
      <c r="A761" t="s">
        <v>4172</v>
      </c>
      <c r="B761">
        <v>5000</v>
      </c>
    </row>
    <row r="762" spans="1:2" x14ac:dyDescent="0.35">
      <c r="A762" t="s">
        <v>4174</v>
      </c>
      <c r="B762">
        <v>1</v>
      </c>
    </row>
    <row r="763" spans="1:2" x14ac:dyDescent="0.35">
      <c r="A763" t="s">
        <v>4175</v>
      </c>
      <c r="B763">
        <v>1</v>
      </c>
    </row>
    <row r="764" spans="1:2" x14ac:dyDescent="0.35">
      <c r="A764" t="s">
        <v>4176</v>
      </c>
      <c r="B764">
        <v>1</v>
      </c>
    </row>
    <row r="765" spans="1:2" x14ac:dyDescent="0.35">
      <c r="A765" t="s">
        <v>4177</v>
      </c>
      <c r="B765">
        <v>1</v>
      </c>
    </row>
    <row r="766" spans="1:2" x14ac:dyDescent="0.35">
      <c r="A766" t="s">
        <v>4178</v>
      </c>
      <c r="B766">
        <v>1</v>
      </c>
    </row>
    <row r="767" spans="1:2" x14ac:dyDescent="0.35">
      <c r="A767" t="s">
        <v>4179</v>
      </c>
      <c r="B767">
        <v>1</v>
      </c>
    </row>
    <row r="768" spans="1:2" x14ac:dyDescent="0.35">
      <c r="A768" t="s">
        <v>4180</v>
      </c>
      <c r="B768">
        <v>1</v>
      </c>
    </row>
    <row r="769" spans="1:2" x14ac:dyDescent="0.35">
      <c r="A769" t="s">
        <v>4181</v>
      </c>
      <c r="B769">
        <v>1</v>
      </c>
    </row>
    <row r="770" spans="1:2" x14ac:dyDescent="0.35">
      <c r="A770" t="s">
        <v>4182</v>
      </c>
      <c r="B770">
        <v>1</v>
      </c>
    </row>
    <row r="771" spans="1:2" x14ac:dyDescent="0.35">
      <c r="A771" t="s">
        <v>4192</v>
      </c>
      <c r="B771">
        <v>0</v>
      </c>
    </row>
    <row r="772" spans="1:2" x14ac:dyDescent="0.35">
      <c r="A772" t="s">
        <v>4193</v>
      </c>
      <c r="B772">
        <v>0</v>
      </c>
    </row>
    <row r="773" spans="1:2" x14ac:dyDescent="0.35">
      <c r="A773" t="s">
        <v>4194</v>
      </c>
      <c r="B773">
        <v>0</v>
      </c>
    </row>
    <row r="774" spans="1:2" x14ac:dyDescent="0.35">
      <c r="A774" t="s">
        <v>4195</v>
      </c>
      <c r="B774">
        <v>0</v>
      </c>
    </row>
    <row r="775" spans="1:2" x14ac:dyDescent="0.35">
      <c r="A775" t="s">
        <v>4196</v>
      </c>
      <c r="B775">
        <v>0</v>
      </c>
    </row>
    <row r="776" spans="1:2" x14ac:dyDescent="0.35">
      <c r="A776" t="s">
        <v>4197</v>
      </c>
      <c r="B776">
        <v>0</v>
      </c>
    </row>
    <row r="777" spans="1:2" x14ac:dyDescent="0.35">
      <c r="A777" t="s">
        <v>4198</v>
      </c>
      <c r="B777">
        <v>0</v>
      </c>
    </row>
    <row r="778" spans="1:2" x14ac:dyDescent="0.35">
      <c r="A778" t="s">
        <v>4199</v>
      </c>
      <c r="B778">
        <v>0</v>
      </c>
    </row>
    <row r="779" spans="1:2" x14ac:dyDescent="0.35">
      <c r="A779" t="s">
        <v>4200</v>
      </c>
      <c r="B779">
        <v>0</v>
      </c>
    </row>
    <row r="780" spans="1:2" x14ac:dyDescent="0.35">
      <c r="A780" t="s">
        <v>4210</v>
      </c>
    </row>
    <row r="781" spans="1:2" x14ac:dyDescent="0.35">
      <c r="A781" t="s">
        <v>4211</v>
      </c>
    </row>
    <row r="782" spans="1:2" x14ac:dyDescent="0.35">
      <c r="A782" t="s">
        <v>4214</v>
      </c>
      <c r="B782">
        <v>5000</v>
      </c>
    </row>
    <row r="783" spans="1:2" x14ac:dyDescent="0.35">
      <c r="A783" t="s">
        <v>4217</v>
      </c>
      <c r="B783">
        <v>5000</v>
      </c>
    </row>
    <row r="784" spans="1:2" x14ac:dyDescent="0.35">
      <c r="A784" t="s">
        <v>4219</v>
      </c>
      <c r="B784">
        <v>0</v>
      </c>
    </row>
    <row r="785" spans="1:2" x14ac:dyDescent="0.35">
      <c r="A785" t="s">
        <v>4220</v>
      </c>
      <c r="B785">
        <v>0</v>
      </c>
    </row>
    <row r="786" spans="1:2" x14ac:dyDescent="0.35">
      <c r="A786" t="s">
        <v>4221</v>
      </c>
      <c r="B786">
        <v>0</v>
      </c>
    </row>
    <row r="787" spans="1:2" x14ac:dyDescent="0.35">
      <c r="A787" t="s">
        <v>4222</v>
      </c>
      <c r="B787">
        <v>0</v>
      </c>
    </row>
    <row r="788" spans="1:2" x14ac:dyDescent="0.35">
      <c r="A788" t="s">
        <v>4223</v>
      </c>
      <c r="B788">
        <v>0</v>
      </c>
    </row>
    <row r="789" spans="1:2" x14ac:dyDescent="0.35">
      <c r="A789" t="s">
        <v>4224</v>
      </c>
      <c r="B789">
        <v>0</v>
      </c>
    </row>
    <row r="790" spans="1:2" x14ac:dyDescent="0.35">
      <c r="A790" t="s">
        <v>4225</v>
      </c>
      <c r="B790">
        <v>0</v>
      </c>
    </row>
    <row r="791" spans="1:2" x14ac:dyDescent="0.35">
      <c r="A791" t="s">
        <v>4226</v>
      </c>
      <c r="B791">
        <v>0</v>
      </c>
    </row>
    <row r="792" spans="1:2" x14ac:dyDescent="0.35">
      <c r="A792" t="s">
        <v>4227</v>
      </c>
      <c r="B792">
        <v>0</v>
      </c>
    </row>
    <row r="793" spans="1:2" x14ac:dyDescent="0.35">
      <c r="A793" t="s">
        <v>4240</v>
      </c>
      <c r="B793">
        <v>1</v>
      </c>
    </row>
    <row r="794" spans="1:2" x14ac:dyDescent="0.35">
      <c r="A794" t="s">
        <v>4241</v>
      </c>
      <c r="B794">
        <v>1</v>
      </c>
    </row>
    <row r="795" spans="1:2" x14ac:dyDescent="0.35">
      <c r="A795" t="s">
        <v>4242</v>
      </c>
      <c r="B795">
        <v>1</v>
      </c>
    </row>
    <row r="796" spans="1:2" x14ac:dyDescent="0.35">
      <c r="A796" t="s">
        <v>4243</v>
      </c>
      <c r="B796">
        <v>1</v>
      </c>
    </row>
    <row r="797" spans="1:2" x14ac:dyDescent="0.35">
      <c r="A797" t="s">
        <v>4244</v>
      </c>
      <c r="B797">
        <v>1</v>
      </c>
    </row>
    <row r="798" spans="1:2" x14ac:dyDescent="0.35">
      <c r="A798" t="s">
        <v>4245</v>
      </c>
      <c r="B798">
        <v>1</v>
      </c>
    </row>
    <row r="799" spans="1:2" x14ac:dyDescent="0.35">
      <c r="A799" t="s">
        <v>4246</v>
      </c>
      <c r="B799">
        <v>1</v>
      </c>
    </row>
    <row r="800" spans="1:2" x14ac:dyDescent="0.35">
      <c r="A800" t="s">
        <v>4247</v>
      </c>
      <c r="B800">
        <v>1</v>
      </c>
    </row>
    <row r="801" spans="1:2" x14ac:dyDescent="0.35">
      <c r="A801" t="s">
        <v>4248</v>
      </c>
      <c r="B801">
        <v>1</v>
      </c>
    </row>
    <row r="802" spans="1:2" x14ac:dyDescent="0.35">
      <c r="A802" t="s">
        <v>4237</v>
      </c>
      <c r="B802">
        <v>0</v>
      </c>
    </row>
    <row r="803" spans="1:2" x14ac:dyDescent="0.35">
      <c r="A803" t="s">
        <v>4238</v>
      </c>
      <c r="B803">
        <v>0</v>
      </c>
    </row>
    <row r="804" spans="1:2" x14ac:dyDescent="0.35">
      <c r="A804" t="s">
        <v>4239</v>
      </c>
      <c r="B804">
        <v>0</v>
      </c>
    </row>
    <row r="805" spans="1:2" x14ac:dyDescent="0.35">
      <c r="A805" t="s">
        <v>4261</v>
      </c>
      <c r="B805" t="b">
        <v>0</v>
      </c>
    </row>
    <row r="806" spans="1:2" x14ac:dyDescent="0.35">
      <c r="A806" t="s">
        <v>4263</v>
      </c>
    </row>
    <row r="807" spans="1:2" x14ac:dyDescent="0.35">
      <c r="A807" t="s">
        <v>4265</v>
      </c>
      <c r="B807">
        <v>3</v>
      </c>
    </row>
    <row r="808" spans="1:2" x14ac:dyDescent="0.35">
      <c r="A808" t="s">
        <v>4266</v>
      </c>
      <c r="B808">
        <v>5</v>
      </c>
    </row>
    <row r="809" spans="1:2" x14ac:dyDescent="0.35">
      <c r="A809" t="s">
        <v>4267</v>
      </c>
      <c r="B809">
        <v>4</v>
      </c>
    </row>
    <row r="810" spans="1:2" x14ac:dyDescent="0.35">
      <c r="A810" t="s">
        <v>4268</v>
      </c>
      <c r="B810">
        <v>6</v>
      </c>
    </row>
    <row r="811" spans="1:2" x14ac:dyDescent="0.35">
      <c r="A811" t="s">
        <v>4269</v>
      </c>
      <c r="B811">
        <v>3</v>
      </c>
    </row>
    <row r="812" spans="1:2" x14ac:dyDescent="0.35">
      <c r="A812" t="s">
        <v>4270</v>
      </c>
      <c r="B812">
        <v>4</v>
      </c>
    </row>
    <row r="813" spans="1:2" x14ac:dyDescent="0.35">
      <c r="A813" t="s">
        <v>4271</v>
      </c>
      <c r="B813">
        <v>5</v>
      </c>
    </row>
    <row r="814" spans="1:2" x14ac:dyDescent="0.35">
      <c r="A814" t="s">
        <v>4272</v>
      </c>
      <c r="B814">
        <v>6</v>
      </c>
    </row>
    <row r="815" spans="1:2" x14ac:dyDescent="0.35">
      <c r="A815" t="s">
        <v>4273</v>
      </c>
      <c r="B815">
        <v>5</v>
      </c>
    </row>
    <row r="816" spans="1:2" x14ac:dyDescent="0.35">
      <c r="A816" t="s">
        <v>4283</v>
      </c>
      <c r="B816">
        <v>5000</v>
      </c>
    </row>
    <row r="817" spans="1:2" x14ac:dyDescent="0.35">
      <c r="A817" t="s">
        <v>4287</v>
      </c>
      <c r="B817">
        <v>5000</v>
      </c>
    </row>
    <row r="818" spans="1:2" x14ac:dyDescent="0.35">
      <c r="A818" t="s">
        <v>4289</v>
      </c>
      <c r="B818">
        <v>5000</v>
      </c>
    </row>
    <row r="819" spans="1:2" x14ac:dyDescent="0.35">
      <c r="A819" t="s">
        <v>4294</v>
      </c>
      <c r="B819">
        <v>0</v>
      </c>
    </row>
    <row r="820" spans="1:2" x14ac:dyDescent="0.35">
      <c r="A820" t="s">
        <v>4295</v>
      </c>
      <c r="B820">
        <v>0</v>
      </c>
    </row>
    <row r="821" spans="1:2" x14ac:dyDescent="0.35">
      <c r="A821" t="s">
        <v>4296</v>
      </c>
      <c r="B821">
        <v>0</v>
      </c>
    </row>
    <row r="822" spans="1:2" x14ac:dyDescent="0.35">
      <c r="A822" t="s">
        <v>4297</v>
      </c>
      <c r="B822">
        <v>0</v>
      </c>
    </row>
    <row r="823" spans="1:2" x14ac:dyDescent="0.35">
      <c r="A823" t="s">
        <v>4298</v>
      </c>
      <c r="B823">
        <v>0</v>
      </c>
    </row>
    <row r="824" spans="1:2" x14ac:dyDescent="0.35">
      <c r="A824" t="s">
        <v>4299</v>
      </c>
      <c r="B824">
        <v>0</v>
      </c>
    </row>
    <row r="825" spans="1:2" x14ac:dyDescent="0.35">
      <c r="A825" t="s">
        <v>4300</v>
      </c>
      <c r="B825">
        <v>0</v>
      </c>
    </row>
    <row r="826" spans="1:2" x14ac:dyDescent="0.35">
      <c r="A826" t="s">
        <v>4301</v>
      </c>
      <c r="B826">
        <v>0</v>
      </c>
    </row>
    <row r="827" spans="1:2" x14ac:dyDescent="0.35">
      <c r="A827" t="s">
        <v>4302</v>
      </c>
      <c r="B827">
        <v>0</v>
      </c>
    </row>
    <row r="828" spans="1:2" x14ac:dyDescent="0.35">
      <c r="A828" t="s">
        <v>4291</v>
      </c>
      <c r="B828">
        <v>0</v>
      </c>
    </row>
    <row r="829" spans="1:2" x14ac:dyDescent="0.35">
      <c r="A829" t="s">
        <v>4292</v>
      </c>
      <c r="B829">
        <v>0</v>
      </c>
    </row>
    <row r="830" spans="1:2" x14ac:dyDescent="0.35">
      <c r="A830" t="s">
        <v>4293</v>
      </c>
      <c r="B830">
        <v>0</v>
      </c>
    </row>
    <row r="831" spans="1:2" x14ac:dyDescent="0.35">
      <c r="A831" t="s">
        <v>4315</v>
      </c>
      <c r="B831">
        <v>0</v>
      </c>
    </row>
    <row r="832" spans="1:2" x14ac:dyDescent="0.35">
      <c r="A832" t="s">
        <v>4316</v>
      </c>
      <c r="B832">
        <v>0</v>
      </c>
    </row>
    <row r="833" spans="1:2" x14ac:dyDescent="0.35">
      <c r="A833" t="s">
        <v>4317</v>
      </c>
      <c r="B833">
        <v>0</v>
      </c>
    </row>
    <row r="834" spans="1:2" x14ac:dyDescent="0.35">
      <c r="A834" t="s">
        <v>4318</v>
      </c>
      <c r="B834">
        <v>0</v>
      </c>
    </row>
    <row r="835" spans="1:2" x14ac:dyDescent="0.35">
      <c r="A835" t="s">
        <v>4319</v>
      </c>
      <c r="B835">
        <v>0</v>
      </c>
    </row>
    <row r="836" spans="1:2" x14ac:dyDescent="0.35">
      <c r="A836" t="s">
        <v>4320</v>
      </c>
      <c r="B836">
        <v>0</v>
      </c>
    </row>
    <row r="837" spans="1:2" x14ac:dyDescent="0.35">
      <c r="A837" t="s">
        <v>4321</v>
      </c>
      <c r="B837">
        <v>0</v>
      </c>
    </row>
    <row r="838" spans="1:2" x14ac:dyDescent="0.35">
      <c r="A838" t="s">
        <v>4322</v>
      </c>
      <c r="B838">
        <v>0</v>
      </c>
    </row>
    <row r="839" spans="1:2" x14ac:dyDescent="0.35">
      <c r="A839" t="s">
        <v>4323</v>
      </c>
      <c r="B839">
        <v>0</v>
      </c>
    </row>
    <row r="840" spans="1:2" x14ac:dyDescent="0.35">
      <c r="A840" t="s">
        <v>4324</v>
      </c>
      <c r="B840" t="s">
        <v>690</v>
      </c>
    </row>
    <row r="841" spans="1:2" x14ac:dyDescent="0.35">
      <c r="A841" t="s">
        <v>4326</v>
      </c>
      <c r="B841">
        <v>2</v>
      </c>
    </row>
    <row r="842" spans="1:2" x14ac:dyDescent="0.35">
      <c r="A842" t="s">
        <v>4327</v>
      </c>
      <c r="B842">
        <v>2</v>
      </c>
    </row>
    <row r="843" spans="1:2" x14ac:dyDescent="0.35">
      <c r="A843" t="s">
        <v>4328</v>
      </c>
      <c r="B843">
        <v>5</v>
      </c>
    </row>
    <row r="844" spans="1:2" x14ac:dyDescent="0.35">
      <c r="A844" t="s">
        <v>4329</v>
      </c>
      <c r="B844">
        <v>6</v>
      </c>
    </row>
    <row r="845" spans="1:2" x14ac:dyDescent="0.35">
      <c r="A845" t="s">
        <v>4330</v>
      </c>
      <c r="B845">
        <v>2</v>
      </c>
    </row>
    <row r="846" spans="1:2" x14ac:dyDescent="0.35">
      <c r="A846" t="s">
        <v>4331</v>
      </c>
      <c r="B846">
        <v>2</v>
      </c>
    </row>
    <row r="847" spans="1:2" x14ac:dyDescent="0.35">
      <c r="A847" t="s">
        <v>4332</v>
      </c>
      <c r="B847">
        <v>3</v>
      </c>
    </row>
    <row r="848" spans="1:2" x14ac:dyDescent="0.35">
      <c r="A848" t="s">
        <v>4333</v>
      </c>
      <c r="B848">
        <v>4</v>
      </c>
    </row>
    <row r="849" spans="1:2" x14ac:dyDescent="0.35">
      <c r="A849" t="s">
        <v>4334</v>
      </c>
      <c r="B849">
        <v>5</v>
      </c>
    </row>
    <row r="850" spans="1:2" x14ac:dyDescent="0.35">
      <c r="A850" t="s">
        <v>4344</v>
      </c>
      <c r="B850">
        <v>5000</v>
      </c>
    </row>
    <row r="851" spans="1:2" x14ac:dyDescent="0.35">
      <c r="A851" t="s">
        <v>4345</v>
      </c>
      <c r="B851">
        <v>5000</v>
      </c>
    </row>
    <row r="852" spans="1:2" x14ac:dyDescent="0.35">
      <c r="A852" t="s">
        <v>4116</v>
      </c>
      <c r="B852">
        <v>2</v>
      </c>
    </row>
    <row r="853" spans="1:2" x14ac:dyDescent="0.35">
      <c r="A853" t="s">
        <v>4117</v>
      </c>
      <c r="B853">
        <v>0</v>
      </c>
    </row>
    <row r="854" spans="1:2" x14ac:dyDescent="0.35">
      <c r="A854" t="s">
        <v>4122</v>
      </c>
      <c r="B854">
        <v>0</v>
      </c>
    </row>
    <row r="855" spans="1:2" x14ac:dyDescent="0.35">
      <c r="A855" t="s">
        <v>4123</v>
      </c>
      <c r="B855">
        <v>0</v>
      </c>
    </row>
    <row r="856" spans="1:2" x14ac:dyDescent="0.35">
      <c r="A856" t="s">
        <v>4124</v>
      </c>
      <c r="B856">
        <v>0</v>
      </c>
    </row>
    <row r="857" spans="1:2" x14ac:dyDescent="0.35">
      <c r="A857" t="s">
        <v>4125</v>
      </c>
      <c r="B857">
        <v>0</v>
      </c>
    </row>
    <row r="858" spans="1:2" x14ac:dyDescent="0.35">
      <c r="A858" t="s">
        <v>4126</v>
      </c>
      <c r="B858">
        <v>0</v>
      </c>
    </row>
    <row r="859" spans="1:2" x14ac:dyDescent="0.35">
      <c r="A859" t="s">
        <v>4127</v>
      </c>
      <c r="B859">
        <v>0</v>
      </c>
    </row>
    <row r="860" spans="1:2" x14ac:dyDescent="0.35">
      <c r="A860" t="s">
        <v>4128</v>
      </c>
      <c r="B860">
        <v>0</v>
      </c>
    </row>
    <row r="861" spans="1:2" x14ac:dyDescent="0.35">
      <c r="A861" t="s">
        <v>4129</v>
      </c>
      <c r="B861">
        <v>0</v>
      </c>
    </row>
    <row r="862" spans="1:2" x14ac:dyDescent="0.35">
      <c r="A862" t="s">
        <v>4118</v>
      </c>
      <c r="B862" t="b">
        <v>0</v>
      </c>
    </row>
    <row r="863" spans="1:2" x14ac:dyDescent="0.35">
      <c r="A863" t="s">
        <v>4119</v>
      </c>
      <c r="B863" t="b">
        <v>0</v>
      </c>
    </row>
    <row r="864" spans="1:2" x14ac:dyDescent="0.35">
      <c r="A864" t="s">
        <v>4120</v>
      </c>
      <c r="B864" t="b">
        <v>0</v>
      </c>
    </row>
    <row r="865" spans="1:2" x14ac:dyDescent="0.35">
      <c r="A865" t="s">
        <v>4121</v>
      </c>
      <c r="B865" t="b">
        <v>0</v>
      </c>
    </row>
    <row r="866" spans="1:2" x14ac:dyDescent="0.35">
      <c r="A866" t="s">
        <v>4346</v>
      </c>
      <c r="B866">
        <v>7</v>
      </c>
    </row>
    <row r="867" spans="1:2" x14ac:dyDescent="0.35">
      <c r="A867" t="s">
        <v>4348</v>
      </c>
    </row>
    <row r="868" spans="1:2" x14ac:dyDescent="0.35">
      <c r="A868" t="s">
        <v>4350</v>
      </c>
    </row>
    <row r="869" spans="1:2" x14ac:dyDescent="0.35">
      <c r="A869" t="s">
        <v>4351</v>
      </c>
    </row>
    <row r="870" spans="1:2" x14ac:dyDescent="0.35">
      <c r="A870" t="s">
        <v>4352</v>
      </c>
    </row>
    <row r="871" spans="1:2" x14ac:dyDescent="0.35">
      <c r="A871" t="s">
        <v>4353</v>
      </c>
    </row>
    <row r="872" spans="1:2" x14ac:dyDescent="0.35">
      <c r="A872" t="s">
        <v>4354</v>
      </c>
    </row>
    <row r="873" spans="1:2" x14ac:dyDescent="0.35">
      <c r="A873" t="s">
        <v>4355</v>
      </c>
    </row>
    <row r="874" spans="1:2" x14ac:dyDescent="0.35">
      <c r="A874" t="s">
        <v>4356</v>
      </c>
    </row>
    <row r="875" spans="1:2" x14ac:dyDescent="0.35">
      <c r="A875" t="s">
        <v>4357</v>
      </c>
    </row>
    <row r="876" spans="1:2" x14ac:dyDescent="0.35">
      <c r="A876" t="s">
        <v>4358</v>
      </c>
    </row>
    <row r="877" spans="1:2" x14ac:dyDescent="0.35">
      <c r="A877" t="s">
        <v>4359</v>
      </c>
    </row>
    <row r="878" spans="1:2" x14ac:dyDescent="0.35">
      <c r="A878" t="s">
        <v>4360</v>
      </c>
    </row>
    <row r="879" spans="1:2" x14ac:dyDescent="0.35">
      <c r="A879" t="s">
        <v>4361</v>
      </c>
    </row>
    <row r="880" spans="1:2" x14ac:dyDescent="0.35">
      <c r="A880" t="s">
        <v>4362</v>
      </c>
    </row>
    <row r="881" spans="1:1" x14ac:dyDescent="0.35">
      <c r="A881" t="s">
        <v>4363</v>
      </c>
    </row>
    <row r="882" spans="1:1" x14ac:dyDescent="0.35">
      <c r="A882" t="s">
        <v>4364</v>
      </c>
    </row>
    <row r="883" spans="1:1" x14ac:dyDescent="0.35">
      <c r="A883" t="s">
        <v>4365</v>
      </c>
    </row>
    <row r="884" spans="1:1" x14ac:dyDescent="0.35">
      <c r="A884" t="s">
        <v>4366</v>
      </c>
    </row>
    <row r="885" spans="1:1" x14ac:dyDescent="0.35">
      <c r="A885" t="s">
        <v>4367</v>
      </c>
    </row>
    <row r="886" spans="1:1" x14ac:dyDescent="0.35">
      <c r="A886" t="s">
        <v>4368</v>
      </c>
    </row>
    <row r="887" spans="1:1" x14ac:dyDescent="0.35">
      <c r="A887" t="s">
        <v>4369</v>
      </c>
    </row>
    <row r="888" spans="1:1" x14ac:dyDescent="0.35">
      <c r="A888" t="s">
        <v>4370</v>
      </c>
    </row>
    <row r="889" spans="1:1" x14ac:dyDescent="0.35">
      <c r="A889" t="s">
        <v>4371</v>
      </c>
    </row>
    <row r="890" spans="1:1" x14ac:dyDescent="0.35">
      <c r="A890" t="s">
        <v>4372</v>
      </c>
    </row>
    <row r="891" spans="1:1" x14ac:dyDescent="0.35">
      <c r="A891" t="s">
        <v>4373</v>
      </c>
    </row>
    <row r="892" spans="1:1" x14ac:dyDescent="0.35">
      <c r="A892" t="s">
        <v>4374</v>
      </c>
    </row>
    <row r="893" spans="1:1" x14ac:dyDescent="0.35">
      <c r="A893" t="s">
        <v>4375</v>
      </c>
    </row>
    <row r="894" spans="1:1" x14ac:dyDescent="0.35">
      <c r="A894" t="s">
        <v>4376</v>
      </c>
    </row>
    <row r="895" spans="1:1" x14ac:dyDescent="0.35">
      <c r="A895" t="s">
        <v>4377</v>
      </c>
    </row>
    <row r="896" spans="1:1" x14ac:dyDescent="0.35">
      <c r="A896" t="s">
        <v>4378</v>
      </c>
    </row>
    <row r="897" spans="1:1" x14ac:dyDescent="0.35">
      <c r="A897" t="s">
        <v>4379</v>
      </c>
    </row>
    <row r="898" spans="1:1" x14ac:dyDescent="0.35">
      <c r="A898" t="s">
        <v>4380</v>
      </c>
    </row>
    <row r="899" spans="1:1" x14ac:dyDescent="0.35">
      <c r="A899" t="s">
        <v>4381</v>
      </c>
    </row>
    <row r="900" spans="1:1" x14ac:dyDescent="0.35">
      <c r="A900" t="s">
        <v>4382</v>
      </c>
    </row>
    <row r="901" spans="1:1" x14ac:dyDescent="0.35">
      <c r="A901" t="s">
        <v>4383</v>
      </c>
    </row>
    <row r="902" spans="1:1" x14ac:dyDescent="0.35">
      <c r="A902" t="s">
        <v>4384</v>
      </c>
    </row>
    <row r="903" spans="1:1" x14ac:dyDescent="0.35">
      <c r="A903" t="s">
        <v>4385</v>
      </c>
    </row>
    <row r="904" spans="1:1" x14ac:dyDescent="0.35">
      <c r="A904" t="s">
        <v>4386</v>
      </c>
    </row>
    <row r="905" spans="1:1" x14ac:dyDescent="0.35">
      <c r="A905" t="s">
        <v>4387</v>
      </c>
    </row>
    <row r="906" spans="1:1" x14ac:dyDescent="0.35">
      <c r="A906" t="s">
        <v>4388</v>
      </c>
    </row>
    <row r="907" spans="1:1" x14ac:dyDescent="0.35">
      <c r="A907" t="s">
        <v>4389</v>
      </c>
    </row>
    <row r="908" spans="1:1" x14ac:dyDescent="0.35">
      <c r="A908" t="s">
        <v>4390</v>
      </c>
    </row>
    <row r="909" spans="1:1" x14ac:dyDescent="0.35">
      <c r="A909" t="s">
        <v>4391</v>
      </c>
    </row>
    <row r="910" spans="1:1" x14ac:dyDescent="0.35">
      <c r="A910" t="s">
        <v>4392</v>
      </c>
    </row>
    <row r="911" spans="1:1" x14ac:dyDescent="0.35">
      <c r="A911" t="s">
        <v>4393</v>
      </c>
    </row>
    <row r="912" spans="1:1" x14ac:dyDescent="0.35">
      <c r="A912" t="s">
        <v>4394</v>
      </c>
    </row>
    <row r="913" spans="1:1" x14ac:dyDescent="0.35">
      <c r="A913" t="s">
        <v>4395</v>
      </c>
    </row>
    <row r="914" spans="1:1" x14ac:dyDescent="0.35">
      <c r="A914" t="s">
        <v>4396</v>
      </c>
    </row>
    <row r="915" spans="1:1" x14ac:dyDescent="0.35">
      <c r="A915" t="s">
        <v>4397</v>
      </c>
    </row>
    <row r="916" spans="1:1" x14ac:dyDescent="0.35">
      <c r="A916" t="s">
        <v>4398</v>
      </c>
    </row>
    <row r="917" spans="1:1" x14ac:dyDescent="0.35">
      <c r="A917" t="s">
        <v>4399</v>
      </c>
    </row>
    <row r="918" spans="1:1" x14ac:dyDescent="0.35">
      <c r="A918" t="s">
        <v>4400</v>
      </c>
    </row>
    <row r="919" spans="1:1" x14ac:dyDescent="0.35">
      <c r="A919" t="s">
        <v>4401</v>
      </c>
    </row>
    <row r="920" spans="1:1" x14ac:dyDescent="0.35">
      <c r="A920" t="s">
        <v>4402</v>
      </c>
    </row>
    <row r="921" spans="1:1" x14ac:dyDescent="0.35">
      <c r="A921" t="s">
        <v>4403</v>
      </c>
    </row>
    <row r="922" spans="1:1" x14ac:dyDescent="0.35">
      <c r="A922" t="s">
        <v>4404</v>
      </c>
    </row>
    <row r="923" spans="1:1" x14ac:dyDescent="0.35">
      <c r="A923" t="s">
        <v>4405</v>
      </c>
    </row>
    <row r="924" spans="1:1" x14ac:dyDescent="0.35">
      <c r="A924" t="s">
        <v>4406</v>
      </c>
    </row>
    <row r="925" spans="1:1" x14ac:dyDescent="0.35">
      <c r="A925" t="s">
        <v>4407</v>
      </c>
    </row>
    <row r="926" spans="1:1" x14ac:dyDescent="0.35">
      <c r="A926" t="s">
        <v>4408</v>
      </c>
    </row>
    <row r="927" spans="1:1" x14ac:dyDescent="0.35">
      <c r="A927" t="s">
        <v>4409</v>
      </c>
    </row>
    <row r="928" spans="1:1" x14ac:dyDescent="0.35">
      <c r="A928" t="s">
        <v>4410</v>
      </c>
    </row>
    <row r="929" spans="1:1" x14ac:dyDescent="0.35">
      <c r="A929" t="s">
        <v>4411</v>
      </c>
    </row>
    <row r="930" spans="1:1" x14ac:dyDescent="0.35">
      <c r="A930" t="s">
        <v>4412</v>
      </c>
    </row>
    <row r="931" spans="1:1" x14ac:dyDescent="0.35">
      <c r="A931" t="s">
        <v>4413</v>
      </c>
    </row>
    <row r="932" spans="1:1" x14ac:dyDescent="0.35">
      <c r="A932" t="s">
        <v>4414</v>
      </c>
    </row>
    <row r="933" spans="1:1" x14ac:dyDescent="0.35">
      <c r="A933" t="s">
        <v>4415</v>
      </c>
    </row>
    <row r="934" spans="1:1" x14ac:dyDescent="0.35">
      <c r="A934" t="s">
        <v>4416</v>
      </c>
    </row>
    <row r="935" spans="1:1" x14ac:dyDescent="0.35">
      <c r="A935" t="s">
        <v>4417</v>
      </c>
    </row>
    <row r="936" spans="1:1" x14ac:dyDescent="0.35">
      <c r="A936" t="s">
        <v>4418</v>
      </c>
    </row>
    <row r="937" spans="1:1" x14ac:dyDescent="0.35">
      <c r="A937" t="s">
        <v>4419</v>
      </c>
    </row>
    <row r="938" spans="1:1" x14ac:dyDescent="0.35">
      <c r="A938" t="s">
        <v>4420</v>
      </c>
    </row>
    <row r="939" spans="1:1" x14ac:dyDescent="0.35">
      <c r="A939" t="s">
        <v>4421</v>
      </c>
    </row>
    <row r="940" spans="1:1" x14ac:dyDescent="0.35">
      <c r="A940" t="s">
        <v>4422</v>
      </c>
    </row>
    <row r="941" spans="1:1" x14ac:dyDescent="0.35">
      <c r="A941" t="s">
        <v>4423</v>
      </c>
    </row>
    <row r="942" spans="1:1" x14ac:dyDescent="0.35">
      <c r="A942" t="s">
        <v>4424</v>
      </c>
    </row>
    <row r="943" spans="1:1" x14ac:dyDescent="0.35">
      <c r="A943" t="s">
        <v>4425</v>
      </c>
    </row>
    <row r="944" spans="1:1" x14ac:dyDescent="0.35">
      <c r="A944" t="s">
        <v>4426</v>
      </c>
    </row>
    <row r="945" spans="1:1" x14ac:dyDescent="0.35">
      <c r="A945" t="s">
        <v>4427</v>
      </c>
    </row>
    <row r="946" spans="1:1" x14ac:dyDescent="0.35">
      <c r="A946" t="s">
        <v>4428</v>
      </c>
    </row>
    <row r="947" spans="1:1" x14ac:dyDescent="0.35">
      <c r="A947" t="s">
        <v>4429</v>
      </c>
    </row>
    <row r="948" spans="1:1" x14ac:dyDescent="0.35">
      <c r="A948" t="s">
        <v>4430</v>
      </c>
    </row>
    <row r="949" spans="1:1" x14ac:dyDescent="0.35">
      <c r="A949" t="s">
        <v>4431</v>
      </c>
    </row>
    <row r="950" spans="1:1" x14ac:dyDescent="0.35">
      <c r="A950" t="s">
        <v>4432</v>
      </c>
    </row>
    <row r="951" spans="1:1" x14ac:dyDescent="0.35">
      <c r="A951" t="s">
        <v>4433</v>
      </c>
    </row>
    <row r="952" spans="1:1" x14ac:dyDescent="0.35">
      <c r="A952" t="s">
        <v>4434</v>
      </c>
    </row>
    <row r="953" spans="1:1" x14ac:dyDescent="0.35">
      <c r="A953" t="s">
        <v>4435</v>
      </c>
    </row>
    <row r="954" spans="1:1" x14ac:dyDescent="0.35">
      <c r="A954" t="s">
        <v>4436</v>
      </c>
    </row>
    <row r="955" spans="1:1" x14ac:dyDescent="0.35">
      <c r="A955" t="s">
        <v>4437</v>
      </c>
    </row>
    <row r="956" spans="1:1" x14ac:dyDescent="0.35">
      <c r="A956" t="s">
        <v>4438</v>
      </c>
    </row>
    <row r="957" spans="1:1" x14ac:dyDescent="0.35">
      <c r="A957" t="s">
        <v>4439</v>
      </c>
    </row>
    <row r="958" spans="1:1" x14ac:dyDescent="0.35">
      <c r="A958" t="s">
        <v>4440</v>
      </c>
    </row>
    <row r="959" spans="1:1" x14ac:dyDescent="0.35">
      <c r="A959" t="s">
        <v>4441</v>
      </c>
    </row>
    <row r="960" spans="1:1" x14ac:dyDescent="0.35">
      <c r="A960" t="s">
        <v>4442</v>
      </c>
    </row>
    <row r="961" spans="1:1" x14ac:dyDescent="0.35">
      <c r="A961" t="s">
        <v>4443</v>
      </c>
    </row>
    <row r="962" spans="1:1" x14ac:dyDescent="0.35">
      <c r="A962" t="s">
        <v>4444</v>
      </c>
    </row>
    <row r="963" spans="1:1" x14ac:dyDescent="0.35">
      <c r="A963" t="s">
        <v>4445</v>
      </c>
    </row>
    <row r="964" spans="1:1" x14ac:dyDescent="0.35">
      <c r="A964" t="s">
        <v>4446</v>
      </c>
    </row>
    <row r="965" spans="1:1" x14ac:dyDescent="0.35">
      <c r="A965" t="s">
        <v>4447</v>
      </c>
    </row>
    <row r="966" spans="1:1" x14ac:dyDescent="0.35">
      <c r="A966" t="s">
        <v>4448</v>
      </c>
    </row>
    <row r="967" spans="1:1" x14ac:dyDescent="0.35">
      <c r="A967" t="s">
        <v>4449</v>
      </c>
    </row>
    <row r="968" spans="1:1" x14ac:dyDescent="0.35">
      <c r="A968" t="s">
        <v>4450</v>
      </c>
    </row>
    <row r="969" spans="1:1" x14ac:dyDescent="0.35">
      <c r="A969" t="s">
        <v>4451</v>
      </c>
    </row>
    <row r="970" spans="1:1" x14ac:dyDescent="0.35">
      <c r="A970" t="s">
        <v>4452</v>
      </c>
    </row>
    <row r="971" spans="1:1" x14ac:dyDescent="0.35">
      <c r="A971" t="s">
        <v>4453</v>
      </c>
    </row>
    <row r="972" spans="1:1" x14ac:dyDescent="0.35">
      <c r="A972" t="s">
        <v>4454</v>
      </c>
    </row>
    <row r="973" spans="1:1" x14ac:dyDescent="0.35">
      <c r="A973" t="s">
        <v>4455</v>
      </c>
    </row>
    <row r="974" spans="1:1" x14ac:dyDescent="0.35">
      <c r="A974" t="s">
        <v>4456</v>
      </c>
    </row>
    <row r="975" spans="1:1" x14ac:dyDescent="0.35">
      <c r="A975" t="s">
        <v>4457</v>
      </c>
    </row>
    <row r="976" spans="1:1" x14ac:dyDescent="0.35">
      <c r="A976" t="s">
        <v>4458</v>
      </c>
    </row>
    <row r="977" spans="1:1" x14ac:dyDescent="0.35">
      <c r="A977" t="s">
        <v>4459</v>
      </c>
    </row>
    <row r="978" spans="1:1" x14ac:dyDescent="0.35">
      <c r="A978" t="s">
        <v>4460</v>
      </c>
    </row>
    <row r="979" spans="1:1" x14ac:dyDescent="0.35">
      <c r="A979" t="s">
        <v>4461</v>
      </c>
    </row>
    <row r="980" spans="1:1" x14ac:dyDescent="0.35">
      <c r="A980" t="s">
        <v>4462</v>
      </c>
    </row>
    <row r="981" spans="1:1" x14ac:dyDescent="0.35">
      <c r="A981" t="s">
        <v>4463</v>
      </c>
    </row>
    <row r="982" spans="1:1" x14ac:dyDescent="0.35">
      <c r="A982" t="s">
        <v>4464</v>
      </c>
    </row>
    <row r="983" spans="1:1" x14ac:dyDescent="0.35">
      <c r="A983" t="s">
        <v>4465</v>
      </c>
    </row>
    <row r="984" spans="1:1" x14ac:dyDescent="0.35">
      <c r="A984" t="s">
        <v>4466</v>
      </c>
    </row>
    <row r="985" spans="1:1" x14ac:dyDescent="0.35">
      <c r="A985" t="s">
        <v>4467</v>
      </c>
    </row>
    <row r="986" spans="1:1" x14ac:dyDescent="0.35">
      <c r="A986" t="s">
        <v>4468</v>
      </c>
    </row>
    <row r="987" spans="1:1" x14ac:dyDescent="0.35">
      <c r="A987" t="s">
        <v>4469</v>
      </c>
    </row>
    <row r="988" spans="1:1" x14ac:dyDescent="0.35">
      <c r="A988" t="s">
        <v>4470</v>
      </c>
    </row>
    <row r="989" spans="1:1" x14ac:dyDescent="0.35">
      <c r="A989" t="s">
        <v>4471</v>
      </c>
    </row>
    <row r="990" spans="1:1" x14ac:dyDescent="0.35">
      <c r="A990" t="s">
        <v>4472</v>
      </c>
    </row>
    <row r="991" spans="1:1" x14ac:dyDescent="0.35">
      <c r="A991" t="s">
        <v>4473</v>
      </c>
    </row>
    <row r="992" spans="1:1" x14ac:dyDescent="0.35">
      <c r="A992" t="s">
        <v>4474</v>
      </c>
    </row>
    <row r="993" spans="1:1" x14ac:dyDescent="0.35">
      <c r="A993" t="s">
        <v>4475</v>
      </c>
    </row>
    <row r="994" spans="1:1" x14ac:dyDescent="0.35">
      <c r="A994" t="s">
        <v>4476</v>
      </c>
    </row>
    <row r="995" spans="1:1" x14ac:dyDescent="0.35">
      <c r="A995" t="s">
        <v>4477</v>
      </c>
    </row>
    <row r="996" spans="1:1" x14ac:dyDescent="0.35">
      <c r="A996" t="s">
        <v>4478</v>
      </c>
    </row>
    <row r="997" spans="1:1" x14ac:dyDescent="0.35">
      <c r="A997" t="s">
        <v>4479</v>
      </c>
    </row>
    <row r="998" spans="1:1" x14ac:dyDescent="0.35">
      <c r="A998" t="s">
        <v>4480</v>
      </c>
    </row>
    <row r="999" spans="1:1" x14ac:dyDescent="0.35">
      <c r="A999" t="s">
        <v>4481</v>
      </c>
    </row>
    <row r="1000" spans="1:1" x14ac:dyDescent="0.35">
      <c r="A1000" t="s">
        <v>4482</v>
      </c>
    </row>
    <row r="1001" spans="1:1" x14ac:dyDescent="0.35">
      <c r="A1001" t="s">
        <v>4483</v>
      </c>
    </row>
    <row r="1002" spans="1:1" x14ac:dyDescent="0.35">
      <c r="A1002" t="s">
        <v>4484</v>
      </c>
    </row>
    <row r="1003" spans="1:1" x14ac:dyDescent="0.35">
      <c r="A1003" t="s">
        <v>4485</v>
      </c>
    </row>
    <row r="1004" spans="1:1" x14ac:dyDescent="0.35">
      <c r="A1004" t="s">
        <v>4486</v>
      </c>
    </row>
    <row r="1005" spans="1:1" x14ac:dyDescent="0.35">
      <c r="A1005" t="s">
        <v>4487</v>
      </c>
    </row>
    <row r="1006" spans="1:1" x14ac:dyDescent="0.35">
      <c r="A1006" t="s">
        <v>4488</v>
      </c>
    </row>
    <row r="1007" spans="1:1" x14ac:dyDescent="0.35">
      <c r="A1007" t="s">
        <v>4489</v>
      </c>
    </row>
    <row r="1008" spans="1:1" x14ac:dyDescent="0.35">
      <c r="A1008" t="s">
        <v>4490</v>
      </c>
    </row>
    <row r="1009" spans="1:1" x14ac:dyDescent="0.35">
      <c r="A1009" t="s">
        <v>4491</v>
      </c>
    </row>
    <row r="1010" spans="1:1" x14ac:dyDescent="0.35">
      <c r="A1010" t="s">
        <v>4492</v>
      </c>
    </row>
    <row r="1011" spans="1:1" x14ac:dyDescent="0.35">
      <c r="A1011" t="s">
        <v>4493</v>
      </c>
    </row>
    <row r="1012" spans="1:1" x14ac:dyDescent="0.35">
      <c r="A1012" t="s">
        <v>4494</v>
      </c>
    </row>
    <row r="1013" spans="1:1" x14ac:dyDescent="0.35">
      <c r="A1013" t="s">
        <v>4495</v>
      </c>
    </row>
    <row r="1014" spans="1:1" x14ac:dyDescent="0.35">
      <c r="A1014" t="s">
        <v>4496</v>
      </c>
    </row>
    <row r="1015" spans="1:1" x14ac:dyDescent="0.35">
      <c r="A1015" t="s">
        <v>4497</v>
      </c>
    </row>
    <row r="1016" spans="1:1" x14ac:dyDescent="0.35">
      <c r="A1016" t="s">
        <v>4498</v>
      </c>
    </row>
    <row r="1017" spans="1:1" x14ac:dyDescent="0.35">
      <c r="A1017" t="s">
        <v>4499</v>
      </c>
    </row>
    <row r="1018" spans="1:1" x14ac:dyDescent="0.35">
      <c r="A1018" t="s">
        <v>4500</v>
      </c>
    </row>
    <row r="1019" spans="1:1" x14ac:dyDescent="0.35">
      <c r="A1019" t="s">
        <v>4501</v>
      </c>
    </row>
    <row r="1020" spans="1:1" x14ac:dyDescent="0.35">
      <c r="A1020" t="s">
        <v>4502</v>
      </c>
    </row>
    <row r="1021" spans="1:1" x14ac:dyDescent="0.35">
      <c r="A1021" t="s">
        <v>4503</v>
      </c>
    </row>
    <row r="1022" spans="1:1" x14ac:dyDescent="0.35">
      <c r="A1022" t="s">
        <v>4504</v>
      </c>
    </row>
    <row r="1023" spans="1:1" x14ac:dyDescent="0.35">
      <c r="A1023" t="s">
        <v>4505</v>
      </c>
    </row>
    <row r="1024" spans="1:1" x14ac:dyDescent="0.35">
      <c r="A1024" t="s">
        <v>4506</v>
      </c>
    </row>
    <row r="1025" spans="1:1" x14ac:dyDescent="0.35">
      <c r="A1025" t="s">
        <v>4507</v>
      </c>
    </row>
    <row r="1026" spans="1:1" x14ac:dyDescent="0.35">
      <c r="A1026" t="s">
        <v>4508</v>
      </c>
    </row>
    <row r="1027" spans="1:1" x14ac:dyDescent="0.35">
      <c r="A1027" t="s">
        <v>4509</v>
      </c>
    </row>
    <row r="1028" spans="1:1" x14ac:dyDescent="0.35">
      <c r="A1028" t="s">
        <v>4510</v>
      </c>
    </row>
    <row r="1029" spans="1:1" x14ac:dyDescent="0.35">
      <c r="A1029" t="s">
        <v>4511</v>
      </c>
    </row>
    <row r="1030" spans="1:1" x14ac:dyDescent="0.35">
      <c r="A1030" t="s">
        <v>4512</v>
      </c>
    </row>
    <row r="1031" spans="1:1" x14ac:dyDescent="0.35">
      <c r="A1031" t="s">
        <v>4513</v>
      </c>
    </row>
    <row r="1032" spans="1:1" x14ac:dyDescent="0.35">
      <c r="A1032" t="s">
        <v>4514</v>
      </c>
    </row>
    <row r="1033" spans="1:1" x14ac:dyDescent="0.35">
      <c r="A1033" t="s">
        <v>4515</v>
      </c>
    </row>
    <row r="1034" spans="1:1" x14ac:dyDescent="0.35">
      <c r="A1034" t="s">
        <v>4516</v>
      </c>
    </row>
    <row r="1035" spans="1:1" x14ac:dyDescent="0.35">
      <c r="A1035" t="s">
        <v>4517</v>
      </c>
    </row>
    <row r="1036" spans="1:1" x14ac:dyDescent="0.35">
      <c r="A1036" t="s">
        <v>4518</v>
      </c>
    </row>
    <row r="1037" spans="1:1" x14ac:dyDescent="0.35">
      <c r="A1037" t="s">
        <v>4519</v>
      </c>
    </row>
    <row r="1038" spans="1:1" x14ac:dyDescent="0.35">
      <c r="A1038" t="s">
        <v>4520</v>
      </c>
    </row>
    <row r="1039" spans="1:1" x14ac:dyDescent="0.35">
      <c r="A1039" t="s">
        <v>4521</v>
      </c>
    </row>
    <row r="1040" spans="1:1" x14ac:dyDescent="0.35">
      <c r="A1040" t="s">
        <v>4522</v>
      </c>
    </row>
    <row r="1041" spans="1:1" x14ac:dyDescent="0.35">
      <c r="A1041" t="s">
        <v>4523</v>
      </c>
    </row>
    <row r="1042" spans="1:1" x14ac:dyDescent="0.35">
      <c r="A1042" t="s">
        <v>4524</v>
      </c>
    </row>
    <row r="1043" spans="1:1" x14ac:dyDescent="0.35">
      <c r="A1043" t="s">
        <v>4525</v>
      </c>
    </row>
    <row r="1044" spans="1:1" x14ac:dyDescent="0.35">
      <c r="A1044" t="s">
        <v>4526</v>
      </c>
    </row>
    <row r="1045" spans="1:1" x14ac:dyDescent="0.35">
      <c r="A1045" t="s">
        <v>4527</v>
      </c>
    </row>
    <row r="1046" spans="1:1" x14ac:dyDescent="0.35">
      <c r="A1046" t="s">
        <v>4528</v>
      </c>
    </row>
    <row r="1047" spans="1:1" x14ac:dyDescent="0.35">
      <c r="A1047" t="s">
        <v>4529</v>
      </c>
    </row>
    <row r="1048" spans="1:1" x14ac:dyDescent="0.35">
      <c r="A1048" t="s">
        <v>4530</v>
      </c>
    </row>
    <row r="1049" spans="1:1" x14ac:dyDescent="0.35">
      <c r="A1049" t="s">
        <v>4531</v>
      </c>
    </row>
    <row r="1050" spans="1:1" x14ac:dyDescent="0.35">
      <c r="A1050" t="s">
        <v>4532</v>
      </c>
    </row>
    <row r="1051" spans="1:1" x14ac:dyDescent="0.35">
      <c r="A1051" t="s">
        <v>4533</v>
      </c>
    </row>
    <row r="1052" spans="1:1" x14ac:dyDescent="0.35">
      <c r="A1052" t="s">
        <v>4534</v>
      </c>
    </row>
    <row r="1053" spans="1:1" x14ac:dyDescent="0.35">
      <c r="A1053" t="s">
        <v>4535</v>
      </c>
    </row>
    <row r="1054" spans="1:1" x14ac:dyDescent="0.35">
      <c r="A1054" t="s">
        <v>4536</v>
      </c>
    </row>
    <row r="1055" spans="1:1" x14ac:dyDescent="0.35">
      <c r="A1055" t="s">
        <v>4537</v>
      </c>
    </row>
    <row r="1056" spans="1:1" x14ac:dyDescent="0.35">
      <c r="A1056" t="s">
        <v>4538</v>
      </c>
    </row>
    <row r="1057" spans="1:1" x14ac:dyDescent="0.35">
      <c r="A1057" t="s">
        <v>4539</v>
      </c>
    </row>
    <row r="1058" spans="1:1" x14ac:dyDescent="0.35">
      <c r="A1058" t="s">
        <v>4540</v>
      </c>
    </row>
    <row r="1059" spans="1:1" x14ac:dyDescent="0.35">
      <c r="A1059" t="s">
        <v>4541</v>
      </c>
    </row>
    <row r="1060" spans="1:1" x14ac:dyDescent="0.35">
      <c r="A1060" t="s">
        <v>4542</v>
      </c>
    </row>
    <row r="1061" spans="1:1" x14ac:dyDescent="0.35">
      <c r="A1061" t="s">
        <v>4543</v>
      </c>
    </row>
    <row r="1062" spans="1:1" x14ac:dyDescent="0.35">
      <c r="A1062" t="s">
        <v>4544</v>
      </c>
    </row>
    <row r="1063" spans="1:1" x14ac:dyDescent="0.35">
      <c r="A1063" t="s">
        <v>4545</v>
      </c>
    </row>
    <row r="1064" spans="1:1" x14ac:dyDescent="0.35">
      <c r="A1064" t="s">
        <v>4546</v>
      </c>
    </row>
    <row r="1065" spans="1:1" x14ac:dyDescent="0.35">
      <c r="A1065" t="s">
        <v>4547</v>
      </c>
    </row>
    <row r="1066" spans="1:1" x14ac:dyDescent="0.35">
      <c r="A1066" t="s">
        <v>4548</v>
      </c>
    </row>
    <row r="1067" spans="1:1" x14ac:dyDescent="0.35">
      <c r="A1067" t="s">
        <v>4549</v>
      </c>
    </row>
    <row r="1068" spans="1:1" x14ac:dyDescent="0.35">
      <c r="A1068" t="s">
        <v>4550</v>
      </c>
    </row>
    <row r="1069" spans="1:1" x14ac:dyDescent="0.35">
      <c r="A1069" t="s">
        <v>4551</v>
      </c>
    </row>
    <row r="1070" spans="1:1" x14ac:dyDescent="0.35">
      <c r="A1070" t="s">
        <v>4552</v>
      </c>
    </row>
    <row r="1071" spans="1:1" x14ac:dyDescent="0.35">
      <c r="A1071" t="s">
        <v>4553</v>
      </c>
    </row>
    <row r="1072" spans="1:1" x14ac:dyDescent="0.35">
      <c r="A1072" t="s">
        <v>4554</v>
      </c>
    </row>
    <row r="1073" spans="1:1" x14ac:dyDescent="0.35">
      <c r="A1073" t="s">
        <v>4555</v>
      </c>
    </row>
    <row r="1074" spans="1:1" x14ac:dyDescent="0.35">
      <c r="A1074" t="s">
        <v>4556</v>
      </c>
    </row>
    <row r="1075" spans="1:1" x14ac:dyDescent="0.35">
      <c r="A1075" t="s">
        <v>4557</v>
      </c>
    </row>
    <row r="1076" spans="1:1" x14ac:dyDescent="0.35">
      <c r="A1076" t="s">
        <v>4558</v>
      </c>
    </row>
    <row r="1077" spans="1:1" x14ac:dyDescent="0.35">
      <c r="A1077" t="s">
        <v>4559</v>
      </c>
    </row>
    <row r="1078" spans="1:1" x14ac:dyDescent="0.35">
      <c r="A1078" t="s">
        <v>4560</v>
      </c>
    </row>
    <row r="1079" spans="1:1" x14ac:dyDescent="0.35">
      <c r="A1079" t="s">
        <v>4561</v>
      </c>
    </row>
    <row r="1080" spans="1:1" x14ac:dyDescent="0.35">
      <c r="A1080" t="s">
        <v>4562</v>
      </c>
    </row>
    <row r="1081" spans="1:1" x14ac:dyDescent="0.35">
      <c r="A1081" t="s">
        <v>4563</v>
      </c>
    </row>
    <row r="1082" spans="1:1" x14ac:dyDescent="0.35">
      <c r="A1082" t="s">
        <v>4564</v>
      </c>
    </row>
    <row r="1083" spans="1:1" x14ac:dyDescent="0.35">
      <c r="A1083" t="s">
        <v>4565</v>
      </c>
    </row>
    <row r="1084" spans="1:1" x14ac:dyDescent="0.35">
      <c r="A1084" t="s">
        <v>4566</v>
      </c>
    </row>
    <row r="1085" spans="1:1" x14ac:dyDescent="0.35">
      <c r="A1085" t="s">
        <v>4567</v>
      </c>
    </row>
    <row r="1086" spans="1:1" x14ac:dyDescent="0.35">
      <c r="A1086" t="s">
        <v>4568</v>
      </c>
    </row>
    <row r="1087" spans="1:1" x14ac:dyDescent="0.35">
      <c r="A1087" t="s">
        <v>4569</v>
      </c>
    </row>
    <row r="1088" spans="1:1" x14ac:dyDescent="0.35">
      <c r="A1088" t="s">
        <v>4570</v>
      </c>
    </row>
    <row r="1089" spans="1:1" x14ac:dyDescent="0.35">
      <c r="A1089" t="s">
        <v>4571</v>
      </c>
    </row>
    <row r="1090" spans="1:1" x14ac:dyDescent="0.35">
      <c r="A1090" t="s">
        <v>4572</v>
      </c>
    </row>
    <row r="1091" spans="1:1" x14ac:dyDescent="0.35">
      <c r="A1091" t="s">
        <v>4573</v>
      </c>
    </row>
    <row r="1092" spans="1:1" x14ac:dyDescent="0.35">
      <c r="A1092" t="s">
        <v>4574</v>
      </c>
    </row>
    <row r="1093" spans="1:1" x14ac:dyDescent="0.35">
      <c r="A1093" t="s">
        <v>4575</v>
      </c>
    </row>
    <row r="1094" spans="1:1" x14ac:dyDescent="0.35">
      <c r="A1094" t="s">
        <v>4576</v>
      </c>
    </row>
    <row r="1095" spans="1:1" x14ac:dyDescent="0.35">
      <c r="A1095" t="s">
        <v>4577</v>
      </c>
    </row>
    <row r="1096" spans="1:1" x14ac:dyDescent="0.35">
      <c r="A1096" t="s">
        <v>4578</v>
      </c>
    </row>
    <row r="1097" spans="1:1" x14ac:dyDescent="0.35">
      <c r="A1097" t="s">
        <v>4579</v>
      </c>
    </row>
    <row r="1098" spans="1:1" x14ac:dyDescent="0.35">
      <c r="A1098" t="s">
        <v>4580</v>
      </c>
    </row>
    <row r="1099" spans="1:1" x14ac:dyDescent="0.35">
      <c r="A1099" t="s">
        <v>4581</v>
      </c>
    </row>
    <row r="1100" spans="1:1" x14ac:dyDescent="0.35">
      <c r="A1100" t="s">
        <v>4582</v>
      </c>
    </row>
    <row r="1101" spans="1:1" x14ac:dyDescent="0.35">
      <c r="A1101" t="s">
        <v>4583</v>
      </c>
    </row>
    <row r="1102" spans="1:1" x14ac:dyDescent="0.35">
      <c r="A1102" t="s">
        <v>4584</v>
      </c>
    </row>
    <row r="1103" spans="1:1" x14ac:dyDescent="0.35">
      <c r="A1103" t="s">
        <v>4585</v>
      </c>
    </row>
    <row r="1104" spans="1:1" x14ac:dyDescent="0.35">
      <c r="A1104" t="s">
        <v>4586</v>
      </c>
    </row>
    <row r="1105" spans="1:1" x14ac:dyDescent="0.35">
      <c r="A1105" t="s">
        <v>4587</v>
      </c>
    </row>
    <row r="1106" spans="1:1" x14ac:dyDescent="0.35">
      <c r="A1106" t="s">
        <v>4588</v>
      </c>
    </row>
    <row r="1107" spans="1:1" x14ac:dyDescent="0.35">
      <c r="A1107" t="s">
        <v>4589</v>
      </c>
    </row>
    <row r="1108" spans="1:1" x14ac:dyDescent="0.35">
      <c r="A1108" t="s">
        <v>4590</v>
      </c>
    </row>
    <row r="1109" spans="1:1" x14ac:dyDescent="0.35">
      <c r="A1109" t="s">
        <v>4591</v>
      </c>
    </row>
    <row r="1110" spans="1:1" x14ac:dyDescent="0.35">
      <c r="A1110" t="s">
        <v>4592</v>
      </c>
    </row>
    <row r="1111" spans="1:1" x14ac:dyDescent="0.35">
      <c r="A1111" t="s">
        <v>4593</v>
      </c>
    </row>
    <row r="1112" spans="1:1" x14ac:dyDescent="0.35">
      <c r="A1112" t="s">
        <v>4594</v>
      </c>
    </row>
    <row r="1113" spans="1:1" x14ac:dyDescent="0.35">
      <c r="A1113" t="s">
        <v>4595</v>
      </c>
    </row>
    <row r="1114" spans="1:1" x14ac:dyDescent="0.35">
      <c r="A1114" t="s">
        <v>4596</v>
      </c>
    </row>
    <row r="1115" spans="1:1" x14ac:dyDescent="0.35">
      <c r="A1115" t="s">
        <v>4597</v>
      </c>
    </row>
    <row r="1116" spans="1:1" x14ac:dyDescent="0.35">
      <c r="A1116" t="s">
        <v>4598</v>
      </c>
    </row>
    <row r="1117" spans="1:1" x14ac:dyDescent="0.35">
      <c r="A1117" t="s">
        <v>4599</v>
      </c>
    </row>
    <row r="1118" spans="1:1" x14ac:dyDescent="0.35">
      <c r="A1118" t="s">
        <v>4600</v>
      </c>
    </row>
    <row r="1119" spans="1:1" x14ac:dyDescent="0.35">
      <c r="A1119" t="s">
        <v>4601</v>
      </c>
    </row>
    <row r="1120" spans="1:1" x14ac:dyDescent="0.35">
      <c r="A1120" t="s">
        <v>4602</v>
      </c>
    </row>
    <row r="1121" spans="1:1" x14ac:dyDescent="0.35">
      <c r="A1121" t="s">
        <v>4603</v>
      </c>
    </row>
    <row r="1122" spans="1:1" x14ac:dyDescent="0.35">
      <c r="A1122" t="s">
        <v>4604</v>
      </c>
    </row>
    <row r="1123" spans="1:1" x14ac:dyDescent="0.35">
      <c r="A1123" t="s">
        <v>4605</v>
      </c>
    </row>
    <row r="1124" spans="1:1" x14ac:dyDescent="0.35">
      <c r="A1124" t="s">
        <v>4606</v>
      </c>
    </row>
    <row r="1125" spans="1:1" x14ac:dyDescent="0.35">
      <c r="A1125" t="s">
        <v>4607</v>
      </c>
    </row>
    <row r="1126" spans="1:1" x14ac:dyDescent="0.35">
      <c r="A1126" t="s">
        <v>4608</v>
      </c>
    </row>
    <row r="1127" spans="1:1" x14ac:dyDescent="0.35">
      <c r="A1127" t="s">
        <v>4609</v>
      </c>
    </row>
    <row r="1128" spans="1:1" x14ac:dyDescent="0.35">
      <c r="A1128" t="s">
        <v>4610</v>
      </c>
    </row>
    <row r="1129" spans="1:1" x14ac:dyDescent="0.35">
      <c r="A1129" t="s">
        <v>4611</v>
      </c>
    </row>
    <row r="1130" spans="1:1" x14ac:dyDescent="0.35">
      <c r="A1130" t="s">
        <v>4612</v>
      </c>
    </row>
    <row r="1131" spans="1:1" x14ac:dyDescent="0.35">
      <c r="A1131" t="s">
        <v>4613</v>
      </c>
    </row>
    <row r="1132" spans="1:1" x14ac:dyDescent="0.35">
      <c r="A1132" t="s">
        <v>4614</v>
      </c>
    </row>
    <row r="1133" spans="1:1" x14ac:dyDescent="0.35">
      <c r="A1133" t="s">
        <v>4615</v>
      </c>
    </row>
    <row r="1134" spans="1:1" x14ac:dyDescent="0.35">
      <c r="A1134" t="s">
        <v>4616</v>
      </c>
    </row>
    <row r="1135" spans="1:1" x14ac:dyDescent="0.35">
      <c r="A1135" t="s">
        <v>4617</v>
      </c>
    </row>
    <row r="1136" spans="1:1" x14ac:dyDescent="0.35">
      <c r="A1136" t="s">
        <v>4618</v>
      </c>
    </row>
    <row r="1137" spans="1:2" x14ac:dyDescent="0.35">
      <c r="A1137" t="s">
        <v>4619</v>
      </c>
    </row>
    <row r="1138" spans="1:2" x14ac:dyDescent="0.35">
      <c r="A1138" t="s">
        <v>4620</v>
      </c>
    </row>
    <row r="1139" spans="1:2" x14ac:dyDescent="0.35">
      <c r="A1139" t="s">
        <v>4621</v>
      </c>
    </row>
    <row r="1140" spans="1:2" x14ac:dyDescent="0.35">
      <c r="A1140" t="s">
        <v>4622</v>
      </c>
    </row>
    <row r="1141" spans="1:2" x14ac:dyDescent="0.35">
      <c r="A1141" t="s">
        <v>4623</v>
      </c>
    </row>
    <row r="1142" spans="1:2" x14ac:dyDescent="0.35">
      <c r="A1142" t="s">
        <v>4624</v>
      </c>
    </row>
    <row r="1143" spans="1:2" x14ac:dyDescent="0.35">
      <c r="A1143" t="s">
        <v>4625</v>
      </c>
    </row>
    <row r="1144" spans="1:2" x14ac:dyDescent="0.35">
      <c r="A1144" t="s">
        <v>4626</v>
      </c>
    </row>
    <row r="1145" spans="1:2" x14ac:dyDescent="0.35">
      <c r="A1145" t="s">
        <v>4627</v>
      </c>
    </row>
    <row r="1146" spans="1:2" x14ac:dyDescent="0.35">
      <c r="A1146" t="s">
        <v>4628</v>
      </c>
    </row>
    <row r="1147" spans="1:2" x14ac:dyDescent="0.35">
      <c r="A1147" t="s">
        <v>4629</v>
      </c>
    </row>
    <row r="1148" spans="1:2" x14ac:dyDescent="0.35">
      <c r="A1148" t="s">
        <v>4630</v>
      </c>
    </row>
    <row r="1149" spans="1:2" x14ac:dyDescent="0.35">
      <c r="A1149" t="s">
        <v>3282</v>
      </c>
    </row>
    <row r="1150" spans="1:2" x14ac:dyDescent="0.35">
      <c r="A1150" t="s">
        <v>4997</v>
      </c>
      <c r="B1150">
        <v>100</v>
      </c>
    </row>
    <row r="1151" spans="1:2" x14ac:dyDescent="0.35">
      <c r="A1151" t="s">
        <v>4998</v>
      </c>
      <c r="B1151">
        <v>80</v>
      </c>
    </row>
    <row r="1152" spans="1:2" x14ac:dyDescent="0.35">
      <c r="A1152" t="s">
        <v>4993</v>
      </c>
      <c r="B1152">
        <v>0</v>
      </c>
    </row>
    <row r="1153" spans="1:2" x14ac:dyDescent="0.35">
      <c r="A1153" t="s">
        <v>4992</v>
      </c>
      <c r="B1153">
        <v>42736</v>
      </c>
    </row>
    <row r="1154" spans="1:2" x14ac:dyDescent="0.35">
      <c r="A1154" t="s">
        <v>4994</v>
      </c>
      <c r="B1154">
        <v>30</v>
      </c>
    </row>
    <row r="1155" spans="1:2" x14ac:dyDescent="0.35">
      <c r="A1155" t="s">
        <v>3210</v>
      </c>
    </row>
    <row r="1156" spans="1:2" x14ac:dyDescent="0.35">
      <c r="A1156" t="s">
        <v>3211</v>
      </c>
    </row>
    <row r="1157" spans="1:2" x14ac:dyDescent="0.35">
      <c r="A1157" t="s">
        <v>3212</v>
      </c>
    </row>
    <row r="1158" spans="1:2" x14ac:dyDescent="0.35">
      <c r="A1158" t="s">
        <v>3213</v>
      </c>
    </row>
    <row r="1159" spans="1:2" x14ac:dyDescent="0.35">
      <c r="A1159" t="s">
        <v>3214</v>
      </c>
    </row>
    <row r="1160" spans="1:2" x14ac:dyDescent="0.35">
      <c r="A1160" t="s">
        <v>3215</v>
      </c>
    </row>
    <row r="1161" spans="1:2" x14ac:dyDescent="0.35">
      <c r="A1161" t="s">
        <v>3216</v>
      </c>
    </row>
    <row r="1162" spans="1:2" x14ac:dyDescent="0.35">
      <c r="A1162" t="s">
        <v>3217</v>
      </c>
    </row>
    <row r="1163" spans="1:2" x14ac:dyDescent="0.35">
      <c r="A1163" t="s">
        <v>3218</v>
      </c>
    </row>
    <row r="1164" spans="1:2" x14ac:dyDescent="0.35">
      <c r="A1164" t="s">
        <v>3219</v>
      </c>
    </row>
    <row r="1165" spans="1:2" x14ac:dyDescent="0.35">
      <c r="A1165" t="s">
        <v>3220</v>
      </c>
    </row>
    <row r="1166" spans="1:2" x14ac:dyDescent="0.35">
      <c r="A1166" t="s">
        <v>3221</v>
      </c>
    </row>
    <row r="1167" spans="1:2" x14ac:dyDescent="0.35">
      <c r="A1167" t="s">
        <v>3222</v>
      </c>
    </row>
    <row r="1168" spans="1:2" x14ac:dyDescent="0.35">
      <c r="A1168" t="s">
        <v>3223</v>
      </c>
    </row>
    <row r="1169" spans="1:1" x14ac:dyDescent="0.35">
      <c r="A1169" t="s">
        <v>3224</v>
      </c>
    </row>
    <row r="1170" spans="1:1" x14ac:dyDescent="0.35">
      <c r="A1170" t="s">
        <v>3225</v>
      </c>
    </row>
    <row r="1171" spans="1:1" x14ac:dyDescent="0.35">
      <c r="A1171" t="s">
        <v>3226</v>
      </c>
    </row>
    <row r="1172" spans="1:1" x14ac:dyDescent="0.35">
      <c r="A1172" t="s">
        <v>3227</v>
      </c>
    </row>
    <row r="1173" spans="1:1" x14ac:dyDescent="0.35">
      <c r="A1173" t="s">
        <v>3228</v>
      </c>
    </row>
    <row r="1174" spans="1:1" x14ac:dyDescent="0.35">
      <c r="A1174" t="s">
        <v>3229</v>
      </c>
    </row>
    <row r="1175" spans="1:1" x14ac:dyDescent="0.35">
      <c r="A1175" t="s">
        <v>3230</v>
      </c>
    </row>
    <row r="1176" spans="1:1" x14ac:dyDescent="0.35">
      <c r="A1176" t="s">
        <v>3231</v>
      </c>
    </row>
    <row r="1177" spans="1:1" x14ac:dyDescent="0.35">
      <c r="A1177" t="s">
        <v>3232</v>
      </c>
    </row>
    <row r="1178" spans="1:1" x14ac:dyDescent="0.35">
      <c r="A1178" t="s">
        <v>3233</v>
      </c>
    </row>
    <row r="1179" spans="1:1" x14ac:dyDescent="0.35">
      <c r="A1179" t="s">
        <v>3234</v>
      </c>
    </row>
    <row r="1180" spans="1:1" x14ac:dyDescent="0.35">
      <c r="A1180" t="s">
        <v>3235</v>
      </c>
    </row>
    <row r="1181" spans="1:1" x14ac:dyDescent="0.35">
      <c r="A1181" t="s">
        <v>3236</v>
      </c>
    </row>
    <row r="1182" spans="1:1" x14ac:dyDescent="0.35">
      <c r="A1182" t="s">
        <v>3237</v>
      </c>
    </row>
    <row r="1183" spans="1:1" x14ac:dyDescent="0.35">
      <c r="A1183" t="s">
        <v>3238</v>
      </c>
    </row>
    <row r="1184" spans="1:1" x14ac:dyDescent="0.35">
      <c r="A1184" t="s">
        <v>3239</v>
      </c>
    </row>
    <row r="1185" spans="1:1" x14ac:dyDescent="0.35">
      <c r="A1185" t="s">
        <v>3240</v>
      </c>
    </row>
    <row r="1186" spans="1:1" x14ac:dyDescent="0.35">
      <c r="A1186" t="s">
        <v>3241</v>
      </c>
    </row>
    <row r="1187" spans="1:1" x14ac:dyDescent="0.35">
      <c r="A1187" t="s">
        <v>3242</v>
      </c>
    </row>
    <row r="1188" spans="1:1" x14ac:dyDescent="0.35">
      <c r="A1188" t="s">
        <v>3243</v>
      </c>
    </row>
    <row r="1189" spans="1:1" x14ac:dyDescent="0.35">
      <c r="A1189" t="s">
        <v>3244</v>
      </c>
    </row>
    <row r="1190" spans="1:1" x14ac:dyDescent="0.35">
      <c r="A1190" t="s">
        <v>3245</v>
      </c>
    </row>
    <row r="1191" spans="1:1" x14ac:dyDescent="0.35">
      <c r="A1191" t="s">
        <v>3246</v>
      </c>
    </row>
    <row r="1192" spans="1:1" x14ac:dyDescent="0.35">
      <c r="A1192" t="s">
        <v>3247</v>
      </c>
    </row>
    <row r="1193" spans="1:1" x14ac:dyDescent="0.35">
      <c r="A1193" t="s">
        <v>3248</v>
      </c>
    </row>
    <row r="1194" spans="1:1" x14ac:dyDescent="0.35">
      <c r="A1194" t="s">
        <v>3249</v>
      </c>
    </row>
    <row r="1195" spans="1:1" x14ac:dyDescent="0.35">
      <c r="A1195" t="s">
        <v>3250</v>
      </c>
    </row>
    <row r="1196" spans="1:1" x14ac:dyDescent="0.35">
      <c r="A1196" t="s">
        <v>3251</v>
      </c>
    </row>
    <row r="1197" spans="1:1" x14ac:dyDescent="0.35">
      <c r="A1197" t="s">
        <v>3252</v>
      </c>
    </row>
    <row r="1198" spans="1:1" x14ac:dyDescent="0.35">
      <c r="A1198" t="s">
        <v>3253</v>
      </c>
    </row>
    <row r="1199" spans="1:1" x14ac:dyDescent="0.35">
      <c r="A1199" t="s">
        <v>3254</v>
      </c>
    </row>
    <row r="1200" spans="1:1" x14ac:dyDescent="0.35">
      <c r="A1200" t="s">
        <v>3255</v>
      </c>
    </row>
    <row r="1201" spans="1:1" x14ac:dyDescent="0.35">
      <c r="A1201" t="s">
        <v>3256</v>
      </c>
    </row>
    <row r="1202" spans="1:1" x14ac:dyDescent="0.35">
      <c r="A1202" t="s">
        <v>3257</v>
      </c>
    </row>
    <row r="1203" spans="1:1" x14ac:dyDescent="0.35">
      <c r="A1203" t="s">
        <v>3258</v>
      </c>
    </row>
    <row r="1204" spans="1:1" x14ac:dyDescent="0.35">
      <c r="A1204" t="s">
        <v>3259</v>
      </c>
    </row>
    <row r="1205" spans="1:1" x14ac:dyDescent="0.35">
      <c r="A1205" t="s">
        <v>3260</v>
      </c>
    </row>
    <row r="1206" spans="1:1" x14ac:dyDescent="0.35">
      <c r="A1206" t="s">
        <v>3261</v>
      </c>
    </row>
    <row r="1207" spans="1:1" x14ac:dyDescent="0.35">
      <c r="A1207" t="s">
        <v>3262</v>
      </c>
    </row>
    <row r="1208" spans="1:1" x14ac:dyDescent="0.35">
      <c r="A1208" t="s">
        <v>3263</v>
      </c>
    </row>
    <row r="1209" spans="1:1" x14ac:dyDescent="0.35">
      <c r="A1209" t="s">
        <v>3264</v>
      </c>
    </row>
    <row r="1210" spans="1:1" x14ac:dyDescent="0.35">
      <c r="A1210" t="s">
        <v>3265</v>
      </c>
    </row>
    <row r="1211" spans="1:1" x14ac:dyDescent="0.35">
      <c r="A1211" t="s">
        <v>3266</v>
      </c>
    </row>
    <row r="1212" spans="1:1" x14ac:dyDescent="0.35">
      <c r="A1212" t="s">
        <v>3267</v>
      </c>
    </row>
    <row r="1213" spans="1:1" x14ac:dyDescent="0.35">
      <c r="A1213" t="s">
        <v>3268</v>
      </c>
    </row>
    <row r="1214" spans="1:1" x14ac:dyDescent="0.35">
      <c r="A1214" t="s">
        <v>3269</v>
      </c>
    </row>
    <row r="1215" spans="1:1" x14ac:dyDescent="0.35">
      <c r="A1215" t="s">
        <v>3270</v>
      </c>
    </row>
    <row r="1216" spans="1:1" x14ac:dyDescent="0.35">
      <c r="A1216" t="s">
        <v>3271</v>
      </c>
    </row>
    <row r="1217" spans="1:2" x14ac:dyDescent="0.35">
      <c r="A1217" t="s">
        <v>3272</v>
      </c>
    </row>
    <row r="1218" spans="1:2" x14ac:dyDescent="0.35">
      <c r="A1218" t="s">
        <v>4631</v>
      </c>
    </row>
    <row r="1219" spans="1:2" x14ac:dyDescent="0.35">
      <c r="A1219" t="s">
        <v>3273</v>
      </c>
    </row>
    <row r="1220" spans="1:2" x14ac:dyDescent="0.35">
      <c r="A1220" t="s">
        <v>3274</v>
      </c>
    </row>
    <row r="1221" spans="1:2" x14ac:dyDescent="0.35">
      <c r="A1221" t="s">
        <v>3089</v>
      </c>
    </row>
    <row r="1222" spans="1:2" x14ac:dyDescent="0.35">
      <c r="A1222" t="s">
        <v>4632</v>
      </c>
      <c r="B1222">
        <v>1</v>
      </c>
    </row>
    <row r="1223" spans="1:2" x14ac:dyDescent="0.35">
      <c r="A1223" t="s">
        <v>4633</v>
      </c>
    </row>
    <row r="1224" spans="1:2" x14ac:dyDescent="0.35">
      <c r="A1224" t="s">
        <v>4634</v>
      </c>
    </row>
    <row r="1225" spans="1:2" x14ac:dyDescent="0.35">
      <c r="A1225" t="s">
        <v>4635</v>
      </c>
    </row>
    <row r="1226" spans="1:2" x14ac:dyDescent="0.35">
      <c r="A1226" t="s">
        <v>4636</v>
      </c>
      <c r="B1226">
        <v>1</v>
      </c>
    </row>
    <row r="1227" spans="1:2" x14ac:dyDescent="0.35">
      <c r="A1227" t="s">
        <v>4637</v>
      </c>
    </row>
    <row r="1228" spans="1:2" x14ac:dyDescent="0.35">
      <c r="A1228" t="s">
        <v>4638</v>
      </c>
    </row>
    <row r="1229" spans="1:2" x14ac:dyDescent="0.35">
      <c r="A1229" t="s">
        <v>4639</v>
      </c>
    </row>
    <row r="1230" spans="1:2" x14ac:dyDescent="0.35">
      <c r="A1230" t="s">
        <v>4640</v>
      </c>
    </row>
    <row r="1231" spans="1:2" x14ac:dyDescent="0.35">
      <c r="A1231" t="s">
        <v>4641</v>
      </c>
      <c r="B1231">
        <v>1</v>
      </c>
    </row>
    <row r="1232" spans="1:2" x14ac:dyDescent="0.35">
      <c r="A1232" t="s">
        <v>4642</v>
      </c>
    </row>
    <row r="1233" spans="1:2" x14ac:dyDescent="0.35">
      <c r="A1233" t="s">
        <v>4643</v>
      </c>
    </row>
    <row r="1234" spans="1:2" x14ac:dyDescent="0.35">
      <c r="A1234" t="s">
        <v>4644</v>
      </c>
    </row>
    <row r="1235" spans="1:2" x14ac:dyDescent="0.35">
      <c r="A1235" t="s">
        <v>4645</v>
      </c>
    </row>
    <row r="1236" spans="1:2" x14ac:dyDescent="0.35">
      <c r="A1236" t="s">
        <v>4646</v>
      </c>
    </row>
    <row r="1237" spans="1:2" x14ac:dyDescent="0.35">
      <c r="A1237" t="s">
        <v>4647</v>
      </c>
    </row>
    <row r="1238" spans="1:2" x14ac:dyDescent="0.35">
      <c r="A1238" t="s">
        <v>4648</v>
      </c>
    </row>
    <row r="1239" spans="1:2" x14ac:dyDescent="0.35">
      <c r="A1239" t="s">
        <v>4649</v>
      </c>
    </row>
    <row r="1240" spans="1:2" x14ac:dyDescent="0.35">
      <c r="A1240" t="s">
        <v>4650</v>
      </c>
    </row>
    <row r="1241" spans="1:2" x14ac:dyDescent="0.35">
      <c r="A1241" t="s">
        <v>4651</v>
      </c>
    </row>
    <row r="1242" spans="1:2" x14ac:dyDescent="0.35">
      <c r="A1242" t="s">
        <v>4652</v>
      </c>
    </row>
    <row r="1243" spans="1:2" x14ac:dyDescent="0.35">
      <c r="A1243" t="s">
        <v>4653</v>
      </c>
    </row>
    <row r="1244" spans="1:2" x14ac:dyDescent="0.35">
      <c r="A1244" t="s">
        <v>4654</v>
      </c>
      <c r="B1244">
        <v>0</v>
      </c>
    </row>
    <row r="1245" spans="1:2" x14ac:dyDescent="0.35">
      <c r="A1245" t="s">
        <v>4655</v>
      </c>
    </row>
    <row r="1246" spans="1:2" x14ac:dyDescent="0.35">
      <c r="A1246" t="s">
        <v>4656</v>
      </c>
    </row>
    <row r="1247" spans="1:2" x14ac:dyDescent="0.35">
      <c r="A1247" t="s">
        <v>4657</v>
      </c>
    </row>
    <row r="1248" spans="1:2" x14ac:dyDescent="0.35">
      <c r="A1248" t="s">
        <v>1230</v>
      </c>
      <c r="B1248">
        <v>1</v>
      </c>
    </row>
    <row r="1249" spans="1:2" x14ac:dyDescent="0.35">
      <c r="A1249" t="s">
        <v>1231</v>
      </c>
      <c r="B1249">
        <v>1</v>
      </c>
    </row>
    <row r="1250" spans="1:2" x14ac:dyDescent="0.35">
      <c r="A1250" t="s">
        <v>1232</v>
      </c>
      <c r="B1250">
        <v>1</v>
      </c>
    </row>
    <row r="1251" spans="1:2" x14ac:dyDescent="0.35">
      <c r="A1251" t="s">
        <v>1233</v>
      </c>
      <c r="B1251">
        <v>1</v>
      </c>
    </row>
    <row r="1252" spans="1:2" x14ac:dyDescent="0.35">
      <c r="A1252" t="s">
        <v>1234</v>
      </c>
      <c r="B1252">
        <v>1</v>
      </c>
    </row>
    <row r="1253" spans="1:2" x14ac:dyDescent="0.35">
      <c r="A1253" t="s">
        <v>1235</v>
      </c>
      <c r="B1253">
        <v>1</v>
      </c>
    </row>
    <row r="1254" spans="1:2" x14ac:dyDescent="0.35">
      <c r="A1254" t="s">
        <v>4658</v>
      </c>
    </row>
    <row r="1255" spans="1:2" x14ac:dyDescent="0.35">
      <c r="A1255" t="s">
        <v>4659</v>
      </c>
    </row>
    <row r="1256" spans="1:2" x14ac:dyDescent="0.35">
      <c r="A1256" t="s">
        <v>4660</v>
      </c>
    </row>
    <row r="1257" spans="1:2" x14ac:dyDescent="0.35">
      <c r="A1257" t="s">
        <v>4661</v>
      </c>
    </row>
    <row r="1258" spans="1:2" x14ac:dyDescent="0.35">
      <c r="A1258" t="s">
        <v>4662</v>
      </c>
    </row>
    <row r="1259" spans="1:2" x14ac:dyDescent="0.35">
      <c r="A1259" t="s">
        <v>4663</v>
      </c>
    </row>
    <row r="1260" spans="1:2" x14ac:dyDescent="0.35">
      <c r="A1260" t="s">
        <v>4664</v>
      </c>
    </row>
    <row r="1261" spans="1:2" x14ac:dyDescent="0.35">
      <c r="A1261" t="s">
        <v>4665</v>
      </c>
    </row>
    <row r="1262" spans="1:2" x14ac:dyDescent="0.35">
      <c r="A1262" t="s">
        <v>4666</v>
      </c>
    </row>
    <row r="1263" spans="1:2" x14ac:dyDescent="0.35">
      <c r="A1263" t="s">
        <v>4667</v>
      </c>
    </row>
    <row r="1264" spans="1:2" x14ac:dyDescent="0.35">
      <c r="A1264" t="s">
        <v>4668</v>
      </c>
    </row>
    <row r="1265" spans="1:1" x14ac:dyDescent="0.35">
      <c r="A1265" t="s">
        <v>4669</v>
      </c>
    </row>
    <row r="1266" spans="1:1" x14ac:dyDescent="0.35">
      <c r="A1266" t="s">
        <v>4670</v>
      </c>
    </row>
    <row r="1267" spans="1:1" x14ac:dyDescent="0.35">
      <c r="A1267" t="s">
        <v>4671</v>
      </c>
    </row>
    <row r="1268" spans="1:1" x14ac:dyDescent="0.35">
      <c r="A1268" t="s">
        <v>4672</v>
      </c>
    </row>
    <row r="1269" spans="1:1" x14ac:dyDescent="0.35">
      <c r="A1269" t="s">
        <v>4673</v>
      </c>
    </row>
    <row r="1270" spans="1:1" x14ac:dyDescent="0.35">
      <c r="A1270" t="s">
        <v>4674</v>
      </c>
    </row>
    <row r="1271" spans="1:1" x14ac:dyDescent="0.35">
      <c r="A1271" t="s">
        <v>4675</v>
      </c>
    </row>
    <row r="1272" spans="1:1" x14ac:dyDescent="0.35">
      <c r="A1272" t="s">
        <v>4676</v>
      </c>
    </row>
    <row r="1273" spans="1:1" x14ac:dyDescent="0.35">
      <c r="A1273" t="s">
        <v>4677</v>
      </c>
    </row>
    <row r="1274" spans="1:1" x14ac:dyDescent="0.35">
      <c r="A1274" t="s">
        <v>4678</v>
      </c>
    </row>
    <row r="1275" spans="1:1" x14ac:dyDescent="0.35">
      <c r="A1275" t="s">
        <v>4679</v>
      </c>
    </row>
    <row r="1276" spans="1:1" x14ac:dyDescent="0.35">
      <c r="A1276" t="s">
        <v>4680</v>
      </c>
    </row>
    <row r="1277" spans="1:1" x14ac:dyDescent="0.35">
      <c r="A1277" t="s">
        <v>4681</v>
      </c>
    </row>
    <row r="1278" spans="1:1" x14ac:dyDescent="0.35">
      <c r="A1278" t="s">
        <v>4682</v>
      </c>
    </row>
    <row r="1279" spans="1:1" x14ac:dyDescent="0.35">
      <c r="A1279" t="s">
        <v>4683</v>
      </c>
    </row>
    <row r="1280" spans="1:1" x14ac:dyDescent="0.35">
      <c r="A1280" t="s">
        <v>4684</v>
      </c>
    </row>
    <row r="1281" spans="1:1" x14ac:dyDescent="0.35">
      <c r="A1281" t="s">
        <v>4685</v>
      </c>
    </row>
    <row r="1282" spans="1:1" x14ac:dyDescent="0.35">
      <c r="A1282" t="s">
        <v>4686</v>
      </c>
    </row>
    <row r="1283" spans="1:1" x14ac:dyDescent="0.35">
      <c r="A1283" t="s">
        <v>4687</v>
      </c>
    </row>
    <row r="1284" spans="1:1" x14ac:dyDescent="0.35">
      <c r="A1284" t="s">
        <v>4688</v>
      </c>
    </row>
    <row r="1285" spans="1:1" x14ac:dyDescent="0.35">
      <c r="A1285" t="s">
        <v>4689</v>
      </c>
    </row>
    <row r="1286" spans="1:1" x14ac:dyDescent="0.35">
      <c r="A1286" t="s">
        <v>4690</v>
      </c>
    </row>
    <row r="1287" spans="1:1" x14ac:dyDescent="0.35">
      <c r="A1287" t="s">
        <v>4691</v>
      </c>
    </row>
    <row r="1288" spans="1:1" x14ac:dyDescent="0.35">
      <c r="A1288" t="s">
        <v>4692</v>
      </c>
    </row>
    <row r="1289" spans="1:1" x14ac:dyDescent="0.35">
      <c r="A1289" t="s">
        <v>4693</v>
      </c>
    </row>
    <row r="1290" spans="1:1" x14ac:dyDescent="0.35">
      <c r="A1290" t="s">
        <v>4694</v>
      </c>
    </row>
    <row r="1291" spans="1:1" x14ac:dyDescent="0.35">
      <c r="A1291" t="s">
        <v>4695</v>
      </c>
    </row>
    <row r="1292" spans="1:1" x14ac:dyDescent="0.35">
      <c r="A1292" t="s">
        <v>4696</v>
      </c>
    </row>
    <row r="1293" spans="1:1" x14ac:dyDescent="0.35">
      <c r="A1293" t="s">
        <v>4697</v>
      </c>
    </row>
    <row r="1294" spans="1:1" x14ac:dyDescent="0.35">
      <c r="A1294" t="s">
        <v>4698</v>
      </c>
    </row>
    <row r="1295" spans="1:1" x14ac:dyDescent="0.35">
      <c r="A1295" t="s">
        <v>4699</v>
      </c>
    </row>
    <row r="1296" spans="1:1" x14ac:dyDescent="0.35">
      <c r="A1296" t="s">
        <v>4700</v>
      </c>
    </row>
    <row r="1297" spans="1:1" x14ac:dyDescent="0.35">
      <c r="A1297" t="s">
        <v>4701</v>
      </c>
    </row>
    <row r="1298" spans="1:1" x14ac:dyDescent="0.35">
      <c r="A1298" t="s">
        <v>4702</v>
      </c>
    </row>
    <row r="1299" spans="1:1" x14ac:dyDescent="0.35">
      <c r="A1299" t="s">
        <v>4703</v>
      </c>
    </row>
    <row r="1300" spans="1:1" x14ac:dyDescent="0.35">
      <c r="A1300" t="s">
        <v>4704</v>
      </c>
    </row>
    <row r="1301" spans="1:1" x14ac:dyDescent="0.35">
      <c r="A1301" t="s">
        <v>4705</v>
      </c>
    </row>
    <row r="1302" spans="1:1" x14ac:dyDescent="0.35">
      <c r="A1302" t="s">
        <v>4706</v>
      </c>
    </row>
    <row r="1303" spans="1:1" x14ac:dyDescent="0.35">
      <c r="A1303" t="s">
        <v>4707</v>
      </c>
    </row>
    <row r="1304" spans="1:1" x14ac:dyDescent="0.35">
      <c r="A1304" t="s">
        <v>4708</v>
      </c>
    </row>
    <row r="1305" spans="1:1" x14ac:dyDescent="0.35">
      <c r="A1305" t="s">
        <v>4709</v>
      </c>
    </row>
    <row r="1306" spans="1:1" x14ac:dyDescent="0.35">
      <c r="A1306" t="s">
        <v>4710</v>
      </c>
    </row>
    <row r="1307" spans="1:1" x14ac:dyDescent="0.35">
      <c r="A1307" t="s">
        <v>4711</v>
      </c>
    </row>
    <row r="1308" spans="1:1" x14ac:dyDescent="0.35">
      <c r="A1308" t="s">
        <v>4712</v>
      </c>
    </row>
    <row r="1309" spans="1:1" x14ac:dyDescent="0.35">
      <c r="A1309" t="s">
        <v>4713</v>
      </c>
    </row>
    <row r="1310" spans="1:1" x14ac:dyDescent="0.35">
      <c r="A1310" t="s">
        <v>4714</v>
      </c>
    </row>
    <row r="1311" spans="1:1" x14ac:dyDescent="0.35">
      <c r="A1311" t="s">
        <v>4715</v>
      </c>
    </row>
    <row r="1312" spans="1:1" x14ac:dyDescent="0.35">
      <c r="A1312" t="s">
        <v>4716</v>
      </c>
    </row>
    <row r="1313" spans="1:1" x14ac:dyDescent="0.35">
      <c r="A1313" t="s">
        <v>4717</v>
      </c>
    </row>
    <row r="1314" spans="1:1" x14ac:dyDescent="0.35">
      <c r="A1314" t="s">
        <v>4718</v>
      </c>
    </row>
    <row r="1315" spans="1:1" x14ac:dyDescent="0.35">
      <c r="A1315" t="s">
        <v>4719</v>
      </c>
    </row>
    <row r="1316" spans="1:1" x14ac:dyDescent="0.35">
      <c r="A1316" t="s">
        <v>4720</v>
      </c>
    </row>
    <row r="1317" spans="1:1" x14ac:dyDescent="0.35">
      <c r="A1317" t="s">
        <v>4721</v>
      </c>
    </row>
    <row r="1318" spans="1:1" x14ac:dyDescent="0.35">
      <c r="A1318" t="s">
        <v>4722</v>
      </c>
    </row>
    <row r="1319" spans="1:1" x14ac:dyDescent="0.35">
      <c r="A1319" t="s">
        <v>4723</v>
      </c>
    </row>
    <row r="1320" spans="1:1" x14ac:dyDescent="0.35">
      <c r="A1320" t="s">
        <v>4724</v>
      </c>
    </row>
    <row r="1321" spans="1:1" x14ac:dyDescent="0.35">
      <c r="A1321" t="s">
        <v>4725</v>
      </c>
    </row>
    <row r="1322" spans="1:1" x14ac:dyDescent="0.35">
      <c r="A1322" t="s">
        <v>4726</v>
      </c>
    </row>
    <row r="1323" spans="1:1" x14ac:dyDescent="0.35">
      <c r="A1323" t="s">
        <v>4727</v>
      </c>
    </row>
    <row r="1324" spans="1:1" x14ac:dyDescent="0.35">
      <c r="A1324" t="s">
        <v>4728</v>
      </c>
    </row>
    <row r="1325" spans="1:1" x14ac:dyDescent="0.35">
      <c r="A1325" t="s">
        <v>4729</v>
      </c>
    </row>
    <row r="1326" spans="1:1" x14ac:dyDescent="0.35">
      <c r="A1326" t="s">
        <v>4730</v>
      </c>
    </row>
    <row r="1327" spans="1:1" x14ac:dyDescent="0.35">
      <c r="A1327" t="s">
        <v>4731</v>
      </c>
    </row>
    <row r="1328" spans="1:1" x14ac:dyDescent="0.35">
      <c r="A1328" t="s">
        <v>4732</v>
      </c>
    </row>
    <row r="1329" spans="1:1" x14ac:dyDescent="0.35">
      <c r="A1329" t="s">
        <v>4733</v>
      </c>
    </row>
    <row r="1330" spans="1:1" x14ac:dyDescent="0.35">
      <c r="A1330" t="s">
        <v>4734</v>
      </c>
    </row>
    <row r="1331" spans="1:1" x14ac:dyDescent="0.35">
      <c r="A1331" t="s">
        <v>4735</v>
      </c>
    </row>
    <row r="1332" spans="1:1" x14ac:dyDescent="0.35">
      <c r="A1332" t="s">
        <v>4736</v>
      </c>
    </row>
    <row r="1333" spans="1:1" x14ac:dyDescent="0.35">
      <c r="A1333" t="s">
        <v>4737</v>
      </c>
    </row>
    <row r="1334" spans="1:1" x14ac:dyDescent="0.35">
      <c r="A1334" t="s">
        <v>4738</v>
      </c>
    </row>
    <row r="1335" spans="1:1" x14ac:dyDescent="0.35">
      <c r="A1335" t="s">
        <v>4739</v>
      </c>
    </row>
    <row r="1336" spans="1:1" x14ac:dyDescent="0.35">
      <c r="A1336" t="s">
        <v>4740</v>
      </c>
    </row>
    <row r="1337" spans="1:1" x14ac:dyDescent="0.35">
      <c r="A1337" t="s">
        <v>4741</v>
      </c>
    </row>
    <row r="1338" spans="1:1" x14ac:dyDescent="0.35">
      <c r="A1338" t="s">
        <v>4742</v>
      </c>
    </row>
    <row r="1339" spans="1:1" x14ac:dyDescent="0.35">
      <c r="A1339" t="s">
        <v>4743</v>
      </c>
    </row>
    <row r="1340" spans="1:1" x14ac:dyDescent="0.35">
      <c r="A1340" t="s">
        <v>4744</v>
      </c>
    </row>
    <row r="1341" spans="1:1" x14ac:dyDescent="0.35">
      <c r="A1341" t="s">
        <v>4745</v>
      </c>
    </row>
    <row r="1342" spans="1:1" x14ac:dyDescent="0.35">
      <c r="A1342" t="s">
        <v>4746</v>
      </c>
    </row>
    <row r="1343" spans="1:1" x14ac:dyDescent="0.35">
      <c r="A1343" t="s">
        <v>4747</v>
      </c>
    </row>
    <row r="1344" spans="1:1" x14ac:dyDescent="0.35">
      <c r="A1344" t="s">
        <v>4748</v>
      </c>
    </row>
    <row r="1345" spans="1:1" x14ac:dyDescent="0.35">
      <c r="A1345" t="s">
        <v>4749</v>
      </c>
    </row>
    <row r="1346" spans="1:1" x14ac:dyDescent="0.35">
      <c r="A1346" t="s">
        <v>4750</v>
      </c>
    </row>
    <row r="1347" spans="1:1" x14ac:dyDescent="0.35">
      <c r="A1347" t="s">
        <v>4751</v>
      </c>
    </row>
    <row r="1348" spans="1:1" x14ac:dyDescent="0.35">
      <c r="A1348" t="s">
        <v>4752</v>
      </c>
    </row>
    <row r="1349" spans="1:1" x14ac:dyDescent="0.35">
      <c r="A1349" t="s">
        <v>4753</v>
      </c>
    </row>
    <row r="1350" spans="1:1" x14ac:dyDescent="0.35">
      <c r="A1350" t="s">
        <v>4754</v>
      </c>
    </row>
    <row r="1351" spans="1:1" x14ac:dyDescent="0.35">
      <c r="A1351" t="s">
        <v>4755</v>
      </c>
    </row>
    <row r="1352" spans="1:1" x14ac:dyDescent="0.35">
      <c r="A1352" t="s">
        <v>4756</v>
      </c>
    </row>
    <row r="1353" spans="1:1" x14ac:dyDescent="0.35">
      <c r="A1353" t="s">
        <v>4757</v>
      </c>
    </row>
    <row r="1354" spans="1:1" x14ac:dyDescent="0.35">
      <c r="A1354" t="s">
        <v>4758</v>
      </c>
    </row>
    <row r="1355" spans="1:1" x14ac:dyDescent="0.35">
      <c r="A1355" t="s">
        <v>4759</v>
      </c>
    </row>
    <row r="1356" spans="1:1" x14ac:dyDescent="0.35">
      <c r="A1356" t="s">
        <v>4760</v>
      </c>
    </row>
    <row r="1357" spans="1:1" x14ac:dyDescent="0.35">
      <c r="A1357" t="s">
        <v>4761</v>
      </c>
    </row>
    <row r="1358" spans="1:1" x14ac:dyDescent="0.35">
      <c r="A1358" t="s">
        <v>4762</v>
      </c>
    </row>
    <row r="1359" spans="1:1" x14ac:dyDescent="0.35">
      <c r="A1359" t="s">
        <v>4763</v>
      </c>
    </row>
    <row r="1360" spans="1:1" x14ac:dyDescent="0.35">
      <c r="A1360" t="s">
        <v>4764</v>
      </c>
    </row>
    <row r="1361" spans="1:1" x14ac:dyDescent="0.35">
      <c r="A1361" t="s">
        <v>4765</v>
      </c>
    </row>
    <row r="1362" spans="1:1" x14ac:dyDescent="0.35">
      <c r="A1362" t="s">
        <v>4766</v>
      </c>
    </row>
    <row r="1363" spans="1:1" x14ac:dyDescent="0.35">
      <c r="A1363" t="s">
        <v>4767</v>
      </c>
    </row>
    <row r="1364" spans="1:1" x14ac:dyDescent="0.35">
      <c r="A1364" t="s">
        <v>4768</v>
      </c>
    </row>
    <row r="1365" spans="1:1" x14ac:dyDescent="0.35">
      <c r="A1365" t="s">
        <v>4769</v>
      </c>
    </row>
    <row r="1366" spans="1:1" x14ac:dyDescent="0.35">
      <c r="A1366" t="s">
        <v>4770</v>
      </c>
    </row>
    <row r="1367" spans="1:1" x14ac:dyDescent="0.35">
      <c r="A1367" t="s">
        <v>4771</v>
      </c>
    </row>
    <row r="1368" spans="1:1" x14ac:dyDescent="0.35">
      <c r="A1368" t="s">
        <v>4772</v>
      </c>
    </row>
    <row r="1369" spans="1:1" x14ac:dyDescent="0.35">
      <c r="A1369" t="s">
        <v>4773</v>
      </c>
    </row>
    <row r="1370" spans="1:1" x14ac:dyDescent="0.35">
      <c r="A1370" t="s">
        <v>4774</v>
      </c>
    </row>
    <row r="1371" spans="1:1" x14ac:dyDescent="0.35">
      <c r="A1371" t="s">
        <v>4775</v>
      </c>
    </row>
    <row r="1372" spans="1:1" x14ac:dyDescent="0.35">
      <c r="A1372" t="s">
        <v>4776</v>
      </c>
    </row>
    <row r="1373" spans="1:1" x14ac:dyDescent="0.35">
      <c r="A1373" t="s">
        <v>4777</v>
      </c>
    </row>
    <row r="1374" spans="1:1" x14ac:dyDescent="0.35">
      <c r="A1374" t="s">
        <v>4778</v>
      </c>
    </row>
    <row r="1375" spans="1:1" x14ac:dyDescent="0.35">
      <c r="A1375" t="s">
        <v>4779</v>
      </c>
    </row>
    <row r="1376" spans="1:1" x14ac:dyDescent="0.35">
      <c r="A1376" t="s">
        <v>4780</v>
      </c>
    </row>
    <row r="1377" spans="1:1" x14ac:dyDescent="0.35">
      <c r="A1377" t="s">
        <v>4781</v>
      </c>
    </row>
    <row r="1378" spans="1:1" x14ac:dyDescent="0.35">
      <c r="A1378" t="s">
        <v>4782</v>
      </c>
    </row>
    <row r="1379" spans="1:1" x14ac:dyDescent="0.35">
      <c r="A1379" t="s">
        <v>4783</v>
      </c>
    </row>
    <row r="1380" spans="1:1" x14ac:dyDescent="0.35">
      <c r="A1380" t="s">
        <v>4784</v>
      </c>
    </row>
    <row r="1381" spans="1:1" x14ac:dyDescent="0.35">
      <c r="A1381" t="s">
        <v>4785</v>
      </c>
    </row>
    <row r="1382" spans="1:1" x14ac:dyDescent="0.35">
      <c r="A1382" t="s">
        <v>4786</v>
      </c>
    </row>
    <row r="1383" spans="1:1" x14ac:dyDescent="0.35">
      <c r="A1383" t="s">
        <v>4787</v>
      </c>
    </row>
    <row r="1384" spans="1:1" x14ac:dyDescent="0.35">
      <c r="A1384" t="s">
        <v>4788</v>
      </c>
    </row>
    <row r="1385" spans="1:1" x14ac:dyDescent="0.35">
      <c r="A1385" t="s">
        <v>4789</v>
      </c>
    </row>
    <row r="1386" spans="1:1" x14ac:dyDescent="0.35">
      <c r="A1386" t="s">
        <v>4790</v>
      </c>
    </row>
    <row r="1387" spans="1:1" x14ac:dyDescent="0.35">
      <c r="A1387" t="s">
        <v>4791</v>
      </c>
    </row>
    <row r="1388" spans="1:1" x14ac:dyDescent="0.35">
      <c r="A1388" t="s">
        <v>4792</v>
      </c>
    </row>
    <row r="1389" spans="1:1" x14ac:dyDescent="0.35">
      <c r="A1389" t="s">
        <v>4793</v>
      </c>
    </row>
    <row r="1390" spans="1:1" x14ac:dyDescent="0.35">
      <c r="A1390" t="s">
        <v>4794</v>
      </c>
    </row>
    <row r="1391" spans="1:1" x14ac:dyDescent="0.35">
      <c r="A1391" t="s">
        <v>4795</v>
      </c>
    </row>
    <row r="1392" spans="1:1" x14ac:dyDescent="0.35">
      <c r="A1392" t="s">
        <v>4796</v>
      </c>
    </row>
    <row r="1393" spans="1:1" x14ac:dyDescent="0.35">
      <c r="A1393" t="s">
        <v>4797</v>
      </c>
    </row>
    <row r="1394" spans="1:1" x14ac:dyDescent="0.35">
      <c r="A1394" t="s">
        <v>4798</v>
      </c>
    </row>
    <row r="1395" spans="1:1" x14ac:dyDescent="0.35">
      <c r="A1395" t="s">
        <v>4799</v>
      </c>
    </row>
    <row r="1396" spans="1:1" x14ac:dyDescent="0.35">
      <c r="A1396" t="s">
        <v>4800</v>
      </c>
    </row>
    <row r="1397" spans="1:1" x14ac:dyDescent="0.35">
      <c r="A1397" t="s">
        <v>4801</v>
      </c>
    </row>
    <row r="1398" spans="1:1" x14ac:dyDescent="0.35">
      <c r="A1398" t="s">
        <v>4802</v>
      </c>
    </row>
    <row r="1399" spans="1:1" x14ac:dyDescent="0.35">
      <c r="A1399" t="s">
        <v>4803</v>
      </c>
    </row>
    <row r="1400" spans="1:1" x14ac:dyDescent="0.35">
      <c r="A1400" t="s">
        <v>4804</v>
      </c>
    </row>
    <row r="1401" spans="1:1" x14ac:dyDescent="0.35">
      <c r="A1401" t="s">
        <v>4805</v>
      </c>
    </row>
    <row r="1402" spans="1:1" x14ac:dyDescent="0.35">
      <c r="A1402" t="s">
        <v>4806</v>
      </c>
    </row>
    <row r="1403" spans="1:1" x14ac:dyDescent="0.35">
      <c r="A1403" t="s">
        <v>4807</v>
      </c>
    </row>
    <row r="1404" spans="1:1" x14ac:dyDescent="0.35">
      <c r="A1404" t="s">
        <v>4808</v>
      </c>
    </row>
    <row r="1405" spans="1:1" x14ac:dyDescent="0.35">
      <c r="A1405" t="s">
        <v>4809</v>
      </c>
    </row>
    <row r="1406" spans="1:1" x14ac:dyDescent="0.35">
      <c r="A1406" t="s">
        <v>4810</v>
      </c>
    </row>
    <row r="1407" spans="1:1" x14ac:dyDescent="0.35">
      <c r="A1407" t="s">
        <v>4811</v>
      </c>
    </row>
    <row r="1408" spans="1:1" x14ac:dyDescent="0.35">
      <c r="A1408" t="s">
        <v>4812</v>
      </c>
    </row>
    <row r="1409" spans="1:2" x14ac:dyDescent="0.35">
      <c r="A1409" t="s">
        <v>4813</v>
      </c>
    </row>
    <row r="1410" spans="1:2" x14ac:dyDescent="0.35">
      <c r="A1410" t="s">
        <v>4814</v>
      </c>
    </row>
    <row r="1411" spans="1:2" x14ac:dyDescent="0.35">
      <c r="A1411" t="s">
        <v>4815</v>
      </c>
    </row>
    <row r="1412" spans="1:2" x14ac:dyDescent="0.35">
      <c r="A1412" t="s">
        <v>4816</v>
      </c>
    </row>
    <row r="1413" spans="1:2" x14ac:dyDescent="0.35">
      <c r="A1413" t="s">
        <v>4817</v>
      </c>
      <c r="B1413">
        <v>1</v>
      </c>
    </row>
    <row r="1414" spans="1:2" x14ac:dyDescent="0.35">
      <c r="A1414" t="s">
        <v>4818</v>
      </c>
      <c r="B1414">
        <v>1</v>
      </c>
    </row>
    <row r="1415" spans="1:2" x14ac:dyDescent="0.35">
      <c r="A1415" t="s">
        <v>4819</v>
      </c>
      <c r="B1415">
        <v>1</v>
      </c>
    </row>
    <row r="1416" spans="1:2" x14ac:dyDescent="0.35">
      <c r="A1416" t="s">
        <v>4820</v>
      </c>
      <c r="B1416">
        <v>1</v>
      </c>
    </row>
    <row r="1417" spans="1:2" x14ac:dyDescent="0.35">
      <c r="A1417" t="s">
        <v>4821</v>
      </c>
      <c r="B1417">
        <v>1</v>
      </c>
    </row>
    <row r="1418" spans="1:2" x14ac:dyDescent="0.35">
      <c r="A1418" t="s">
        <v>4822</v>
      </c>
      <c r="B1418">
        <v>1</v>
      </c>
    </row>
    <row r="1419" spans="1:2" x14ac:dyDescent="0.35">
      <c r="A1419" t="s">
        <v>4823</v>
      </c>
      <c r="B1419">
        <v>1</v>
      </c>
    </row>
    <row r="1420" spans="1:2" x14ac:dyDescent="0.35">
      <c r="A1420" t="s">
        <v>4824</v>
      </c>
      <c r="B1420">
        <v>1</v>
      </c>
    </row>
    <row r="1421" spans="1:2" x14ac:dyDescent="0.35">
      <c r="A1421" t="s">
        <v>4825</v>
      </c>
      <c r="B1421">
        <v>1</v>
      </c>
    </row>
    <row r="1422" spans="1:2" x14ac:dyDescent="0.35">
      <c r="A1422" t="s">
        <v>4826</v>
      </c>
      <c r="B1422">
        <v>1</v>
      </c>
    </row>
    <row r="1423" spans="1:2" x14ac:dyDescent="0.35">
      <c r="A1423" t="s">
        <v>4827</v>
      </c>
    </row>
    <row r="1424" spans="1:2" x14ac:dyDescent="0.35">
      <c r="A1424" t="s">
        <v>4828</v>
      </c>
    </row>
    <row r="1425" spans="1:2" x14ac:dyDescent="0.35">
      <c r="A1425" t="s">
        <v>4829</v>
      </c>
    </row>
    <row r="1426" spans="1:2" x14ac:dyDescent="0.35">
      <c r="A1426" t="s">
        <v>4830</v>
      </c>
    </row>
    <row r="1427" spans="1:2" x14ac:dyDescent="0.35">
      <c r="A1427" t="s">
        <v>4831</v>
      </c>
    </row>
    <row r="1428" spans="1:2" x14ac:dyDescent="0.35">
      <c r="A1428" t="s">
        <v>4832</v>
      </c>
      <c r="B1428">
        <v>1</v>
      </c>
    </row>
    <row r="1429" spans="1:2" x14ac:dyDescent="0.35">
      <c r="A1429" t="s">
        <v>4833</v>
      </c>
      <c r="B1429">
        <v>1</v>
      </c>
    </row>
    <row r="1430" spans="1:2" x14ac:dyDescent="0.35">
      <c r="A1430" t="s">
        <v>4834</v>
      </c>
      <c r="B1430">
        <v>1</v>
      </c>
    </row>
    <row r="1431" spans="1:2" x14ac:dyDescent="0.35">
      <c r="A1431" t="s">
        <v>4835</v>
      </c>
      <c r="B1431">
        <v>1</v>
      </c>
    </row>
    <row r="1432" spans="1:2" x14ac:dyDescent="0.35">
      <c r="A1432" t="s">
        <v>4836</v>
      </c>
      <c r="B1432">
        <v>1</v>
      </c>
    </row>
    <row r="1433" spans="1:2" x14ac:dyDescent="0.35">
      <c r="A1433" t="s">
        <v>4837</v>
      </c>
      <c r="B1433">
        <v>1</v>
      </c>
    </row>
    <row r="1434" spans="1:2" x14ac:dyDescent="0.35">
      <c r="A1434" t="s">
        <v>4838</v>
      </c>
      <c r="B1434">
        <v>1</v>
      </c>
    </row>
    <row r="1435" spans="1:2" x14ac:dyDescent="0.35">
      <c r="A1435" t="s">
        <v>4839</v>
      </c>
      <c r="B1435">
        <v>1</v>
      </c>
    </row>
    <row r="1436" spans="1:2" x14ac:dyDescent="0.35">
      <c r="A1436" t="s">
        <v>4840</v>
      </c>
      <c r="B1436">
        <v>1</v>
      </c>
    </row>
    <row r="1437" spans="1:2" x14ac:dyDescent="0.35">
      <c r="A1437" t="s">
        <v>4841</v>
      </c>
      <c r="B1437">
        <v>1</v>
      </c>
    </row>
    <row r="1438" spans="1:2" x14ac:dyDescent="0.35">
      <c r="A1438" t="s">
        <v>4842</v>
      </c>
      <c r="B1438">
        <v>1</v>
      </c>
    </row>
    <row r="1439" spans="1:2" x14ac:dyDescent="0.35">
      <c r="A1439" t="s">
        <v>4843</v>
      </c>
      <c r="B1439">
        <v>1</v>
      </c>
    </row>
    <row r="1440" spans="1:2" x14ac:dyDescent="0.35">
      <c r="A1440" t="s">
        <v>4844</v>
      </c>
      <c r="B1440">
        <v>1</v>
      </c>
    </row>
    <row r="1441" spans="1:2" x14ac:dyDescent="0.35">
      <c r="A1441" t="s">
        <v>4845</v>
      </c>
      <c r="B1441">
        <v>1</v>
      </c>
    </row>
    <row r="1442" spans="1:2" x14ac:dyDescent="0.35">
      <c r="A1442" t="s">
        <v>4846</v>
      </c>
      <c r="B1442">
        <v>1</v>
      </c>
    </row>
    <row r="1443" spans="1:2" x14ac:dyDescent="0.35">
      <c r="A1443" t="s">
        <v>4847</v>
      </c>
    </row>
    <row r="1444" spans="1:2" x14ac:dyDescent="0.35">
      <c r="A1444" t="s">
        <v>4848</v>
      </c>
    </row>
    <row r="1445" spans="1:2" x14ac:dyDescent="0.35">
      <c r="A1445" t="s">
        <v>4849</v>
      </c>
    </row>
    <row r="1446" spans="1:2" x14ac:dyDescent="0.35">
      <c r="A1446" t="s">
        <v>4850</v>
      </c>
    </row>
    <row r="1447" spans="1:2" x14ac:dyDescent="0.35">
      <c r="A1447" t="s">
        <v>4851</v>
      </c>
    </row>
    <row r="1448" spans="1:2" x14ac:dyDescent="0.35">
      <c r="A1448" t="s">
        <v>4852</v>
      </c>
    </row>
    <row r="1449" spans="1:2" x14ac:dyDescent="0.35">
      <c r="A1449" t="s">
        <v>4853</v>
      </c>
    </row>
    <row r="1450" spans="1:2" x14ac:dyDescent="0.35">
      <c r="A1450" t="s">
        <v>4854</v>
      </c>
    </row>
    <row r="1451" spans="1:2" x14ac:dyDescent="0.35">
      <c r="A1451" t="s">
        <v>4855</v>
      </c>
    </row>
    <row r="1452" spans="1:2" x14ac:dyDescent="0.35">
      <c r="A1452" t="s">
        <v>4856</v>
      </c>
    </row>
    <row r="1453" spans="1:2" x14ac:dyDescent="0.35">
      <c r="A1453" t="s">
        <v>4857</v>
      </c>
    </row>
    <row r="1454" spans="1:2" x14ac:dyDescent="0.35">
      <c r="A1454" t="s">
        <v>4858</v>
      </c>
    </row>
    <row r="1455" spans="1:2" x14ac:dyDescent="0.35">
      <c r="A1455" t="s">
        <v>4859</v>
      </c>
    </row>
    <row r="1456" spans="1:2" x14ac:dyDescent="0.35">
      <c r="A1456" t="s">
        <v>4860</v>
      </c>
    </row>
    <row r="1457" spans="1:1" x14ac:dyDescent="0.35">
      <c r="A1457" t="s">
        <v>4861</v>
      </c>
    </row>
    <row r="1458" spans="1:1" x14ac:dyDescent="0.35">
      <c r="A1458" t="s">
        <v>4862</v>
      </c>
    </row>
    <row r="1459" spans="1:1" x14ac:dyDescent="0.35">
      <c r="A1459" t="s">
        <v>4863</v>
      </c>
    </row>
    <row r="1460" spans="1:1" x14ac:dyDescent="0.35">
      <c r="A1460" t="s">
        <v>4864</v>
      </c>
    </row>
    <row r="1461" spans="1:1" x14ac:dyDescent="0.35">
      <c r="A1461" t="s">
        <v>4865</v>
      </c>
    </row>
    <row r="1462" spans="1:1" x14ac:dyDescent="0.35">
      <c r="A1462" t="s">
        <v>4866</v>
      </c>
    </row>
    <row r="1463" spans="1:1" x14ac:dyDescent="0.35">
      <c r="A1463" t="s">
        <v>4867</v>
      </c>
    </row>
    <row r="1464" spans="1:1" x14ac:dyDescent="0.35">
      <c r="A1464" t="s">
        <v>4868</v>
      </c>
    </row>
    <row r="1465" spans="1:1" x14ac:dyDescent="0.35">
      <c r="A1465" t="s">
        <v>4869</v>
      </c>
    </row>
    <row r="1466" spans="1:1" x14ac:dyDescent="0.35">
      <c r="A1466" t="s">
        <v>4870</v>
      </c>
    </row>
    <row r="1467" spans="1:1" x14ac:dyDescent="0.35">
      <c r="A1467" t="s">
        <v>4871</v>
      </c>
    </row>
    <row r="1468" spans="1:1" x14ac:dyDescent="0.35">
      <c r="A1468" t="s">
        <v>4872</v>
      </c>
    </row>
    <row r="1469" spans="1:1" x14ac:dyDescent="0.35">
      <c r="A1469" t="s">
        <v>4873</v>
      </c>
    </row>
    <row r="1470" spans="1:1" x14ac:dyDescent="0.35">
      <c r="A1470" t="s">
        <v>4874</v>
      </c>
    </row>
    <row r="1471" spans="1:1" x14ac:dyDescent="0.35">
      <c r="A1471" t="s">
        <v>4875</v>
      </c>
    </row>
    <row r="1472" spans="1:1" x14ac:dyDescent="0.35">
      <c r="A1472" t="s">
        <v>4876</v>
      </c>
    </row>
    <row r="1473" spans="1:1" x14ac:dyDescent="0.35">
      <c r="A1473" t="s">
        <v>4877</v>
      </c>
    </row>
    <row r="1474" spans="1:1" x14ac:dyDescent="0.35">
      <c r="A1474" t="s">
        <v>4878</v>
      </c>
    </row>
    <row r="1475" spans="1:1" x14ac:dyDescent="0.35">
      <c r="A1475" t="s">
        <v>4879</v>
      </c>
    </row>
    <row r="1476" spans="1:1" x14ac:dyDescent="0.35">
      <c r="A1476" t="s">
        <v>4880</v>
      </c>
    </row>
    <row r="1477" spans="1:1" x14ac:dyDescent="0.35">
      <c r="A1477" t="s">
        <v>4881</v>
      </c>
    </row>
    <row r="1478" spans="1:1" x14ac:dyDescent="0.35">
      <c r="A1478" t="s">
        <v>4882</v>
      </c>
    </row>
    <row r="1479" spans="1:1" x14ac:dyDescent="0.35">
      <c r="A1479" t="s">
        <v>4883</v>
      </c>
    </row>
    <row r="1480" spans="1:1" x14ac:dyDescent="0.35">
      <c r="A1480" t="s">
        <v>4884</v>
      </c>
    </row>
    <row r="1481" spans="1:1" x14ac:dyDescent="0.35">
      <c r="A1481" t="s">
        <v>4885</v>
      </c>
    </row>
    <row r="1482" spans="1:1" x14ac:dyDescent="0.35">
      <c r="A1482" t="s">
        <v>4886</v>
      </c>
    </row>
    <row r="1483" spans="1:1" x14ac:dyDescent="0.35">
      <c r="A1483" t="s">
        <v>4887</v>
      </c>
    </row>
    <row r="1484" spans="1:1" x14ac:dyDescent="0.35">
      <c r="A1484" t="s">
        <v>4888</v>
      </c>
    </row>
    <row r="1485" spans="1:1" x14ac:dyDescent="0.35">
      <c r="A1485" t="s">
        <v>4889</v>
      </c>
    </row>
    <row r="1486" spans="1:1" x14ac:dyDescent="0.35">
      <c r="A1486" t="s">
        <v>4890</v>
      </c>
    </row>
    <row r="1487" spans="1:1" x14ac:dyDescent="0.35">
      <c r="A1487" t="s">
        <v>4891</v>
      </c>
    </row>
    <row r="1488" spans="1:1" x14ac:dyDescent="0.35">
      <c r="A1488" t="s">
        <v>4892</v>
      </c>
    </row>
    <row r="1489" spans="1:2" x14ac:dyDescent="0.35">
      <c r="A1489" t="s">
        <v>4893</v>
      </c>
    </row>
    <row r="1490" spans="1:2" x14ac:dyDescent="0.35">
      <c r="A1490" t="s">
        <v>4894</v>
      </c>
    </row>
    <row r="1491" spans="1:2" x14ac:dyDescent="0.35">
      <c r="A1491" t="s">
        <v>4895</v>
      </c>
    </row>
    <row r="1492" spans="1:2" x14ac:dyDescent="0.35">
      <c r="A1492" t="s">
        <v>4896</v>
      </c>
    </row>
    <row r="1493" spans="1:2" x14ac:dyDescent="0.35">
      <c r="A1493" t="s">
        <v>4897</v>
      </c>
    </row>
    <row r="1494" spans="1:2" x14ac:dyDescent="0.35">
      <c r="A1494" t="s">
        <v>4898</v>
      </c>
    </row>
    <row r="1495" spans="1:2" x14ac:dyDescent="0.35">
      <c r="A1495" t="s">
        <v>4899</v>
      </c>
    </row>
    <row r="1496" spans="1:2" x14ac:dyDescent="0.35">
      <c r="A1496" t="s">
        <v>4900</v>
      </c>
    </row>
    <row r="1497" spans="1:2" x14ac:dyDescent="0.35">
      <c r="A1497" t="s">
        <v>4901</v>
      </c>
      <c r="B1497" t="b">
        <v>0</v>
      </c>
    </row>
    <row r="1498" spans="1:2" x14ac:dyDescent="0.35">
      <c r="A1498" t="s">
        <v>4902</v>
      </c>
    </row>
    <row r="1499" spans="1:2" x14ac:dyDescent="0.35">
      <c r="A1499" t="s">
        <v>4903</v>
      </c>
      <c r="B1499" t="b">
        <v>0</v>
      </c>
    </row>
    <row r="1500" spans="1:2" x14ac:dyDescent="0.35">
      <c r="A1500" t="s">
        <v>4904</v>
      </c>
    </row>
    <row r="1501" spans="1:2" x14ac:dyDescent="0.35">
      <c r="A1501" t="s">
        <v>4905</v>
      </c>
    </row>
    <row r="1502" spans="1:2" x14ac:dyDescent="0.35">
      <c r="A1502" t="s">
        <v>4906</v>
      </c>
    </row>
    <row r="1503" spans="1:2" x14ac:dyDescent="0.35">
      <c r="A1503" t="s">
        <v>4907</v>
      </c>
      <c r="B1503">
        <v>1</v>
      </c>
    </row>
    <row r="1504" spans="1:2" x14ac:dyDescent="0.35">
      <c r="A1504" t="s">
        <v>4908</v>
      </c>
      <c r="B1504" t="b">
        <v>0</v>
      </c>
    </row>
    <row r="1505" spans="1:2" x14ac:dyDescent="0.35">
      <c r="A1505" t="s">
        <v>4909</v>
      </c>
    </row>
    <row r="1506" spans="1:2" x14ac:dyDescent="0.35">
      <c r="A1506" t="s">
        <v>4910</v>
      </c>
      <c r="B1506">
        <v>0</v>
      </c>
    </row>
    <row r="1507" spans="1:2" x14ac:dyDescent="0.35">
      <c r="A1507" t="s">
        <v>4911</v>
      </c>
      <c r="B1507" t="b">
        <v>0</v>
      </c>
    </row>
    <row r="1508" spans="1:2" x14ac:dyDescent="0.35">
      <c r="A1508" t="s">
        <v>4912</v>
      </c>
    </row>
    <row r="1509" spans="1:2" x14ac:dyDescent="0.35">
      <c r="A1509" t="s">
        <v>4913</v>
      </c>
      <c r="B1509" t="b">
        <v>0</v>
      </c>
    </row>
    <row r="1510" spans="1:2" x14ac:dyDescent="0.35">
      <c r="A1510" t="s">
        <v>4914</v>
      </c>
    </row>
    <row r="1511" spans="1:2" x14ac:dyDescent="0.35">
      <c r="A1511" t="s">
        <v>4915</v>
      </c>
    </row>
    <row r="1512" spans="1:2" x14ac:dyDescent="0.35">
      <c r="A1512" t="s">
        <v>4916</v>
      </c>
    </row>
    <row r="1513" spans="1:2" x14ac:dyDescent="0.35">
      <c r="A1513" t="s">
        <v>4917</v>
      </c>
    </row>
    <row r="1514" spans="1:2" x14ac:dyDescent="0.35">
      <c r="A1514" t="s">
        <v>4918</v>
      </c>
    </row>
    <row r="1515" spans="1:2" x14ac:dyDescent="0.35">
      <c r="A1515" t="s">
        <v>4919</v>
      </c>
    </row>
    <row r="1516" spans="1:2" x14ac:dyDescent="0.35">
      <c r="A1516" t="s">
        <v>4920</v>
      </c>
      <c r="B1516" t="b">
        <v>0</v>
      </c>
    </row>
    <row r="1517" spans="1:2" x14ac:dyDescent="0.35">
      <c r="A1517" t="s">
        <v>4921</v>
      </c>
      <c r="B1517">
        <v>1</v>
      </c>
    </row>
    <row r="1518" spans="1:2" x14ac:dyDescent="0.35">
      <c r="A1518" t="s">
        <v>4922</v>
      </c>
      <c r="B1518">
        <v>1</v>
      </c>
    </row>
    <row r="1519" spans="1:2" x14ac:dyDescent="0.35">
      <c r="A1519" t="s">
        <v>4923</v>
      </c>
    </row>
    <row r="1520" spans="1:2" x14ac:dyDescent="0.35">
      <c r="A1520" t="s">
        <v>4924</v>
      </c>
      <c r="B1520">
        <v>1</v>
      </c>
    </row>
    <row r="1521" spans="1:2" x14ac:dyDescent="0.35">
      <c r="A1521" t="s">
        <v>4925</v>
      </c>
      <c r="B1521">
        <v>0</v>
      </c>
    </row>
    <row r="1522" spans="1:2" x14ac:dyDescent="0.35">
      <c r="A1522" t="s">
        <v>4926</v>
      </c>
      <c r="B1522" t="b">
        <v>0</v>
      </c>
    </row>
    <row r="1523" spans="1:2" x14ac:dyDescent="0.35">
      <c r="A1523" t="s">
        <v>4927</v>
      </c>
      <c r="B1523">
        <v>1</v>
      </c>
    </row>
    <row r="1524" spans="1:2" x14ac:dyDescent="0.35">
      <c r="A1524" t="s">
        <v>4928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85" x14ac:dyDescent="0.3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Text">
    <tabColor rgb="FF00B0F0"/>
  </sheetPr>
  <dimension ref="A1:FIO153"/>
  <sheetViews>
    <sheetView topLeftCell="A81" zoomScaleNormal="100" workbookViewId="0">
      <selection activeCell="C110" sqref="C110"/>
    </sheetView>
  </sheetViews>
  <sheetFormatPr defaultRowHeight="12.85" x14ac:dyDescent="0.35"/>
  <cols>
    <col min="1" max="1" width="22.86328125" bestFit="1" customWidth="1"/>
    <col min="2" max="2" width="6.265625" customWidth="1"/>
    <col min="3" max="3" width="69.73046875" customWidth="1"/>
  </cols>
  <sheetData>
    <row r="1" spans="1:3 4305:4305" x14ac:dyDescent="0.35">
      <c r="A1" s="577" t="s">
        <v>320</v>
      </c>
      <c r="B1" s="235" t="s">
        <v>459</v>
      </c>
      <c r="C1" s="234" t="str">
        <f>PedPrtAfspr!F2&amp;" geb: "&amp;TEXT(PedPrtAfspr!F3,"dd-mmm-jj")&amp;". Gewicht: "&amp;ROUND(_Pat_Gewicht/10,1)&amp;" kg"</f>
        <v>Test, Test geb: 01-jan-17. Gewicht: 10 kg</v>
      </c>
    </row>
    <row r="2" spans="1:3 4305:4305" x14ac:dyDescent="0.35">
      <c r="A2" t="s">
        <v>320</v>
      </c>
      <c r="B2" s="236" t="s">
        <v>460</v>
      </c>
      <c r="C2" s="234" t="str">
        <f>__2_AchterNaam</f>
        <v>Test</v>
      </c>
      <c r="FIO2">
        <v>30</v>
      </c>
    </row>
    <row r="3" spans="1:3 4305:4305" x14ac:dyDescent="0.35">
      <c r="A3" t="s">
        <v>320</v>
      </c>
      <c r="B3" s="236" t="s">
        <v>461</v>
      </c>
      <c r="C3" s="234" t="str">
        <f>__3_VoorNaam</f>
        <v>Test</v>
      </c>
    </row>
    <row r="4" spans="1:3 4305:4305" x14ac:dyDescent="0.35">
      <c r="A4" t="s">
        <v>320</v>
      </c>
      <c r="B4" s="236" t="s">
        <v>462</v>
      </c>
      <c r="C4" s="234" t="str">
        <f>TEXT(PedPrtAfspr!F3,"dd-mmm-jj")</f>
        <v>01-jan-17</v>
      </c>
    </row>
    <row r="5" spans="1:3 4305:4305" x14ac:dyDescent="0.35">
      <c r="A5" t="s">
        <v>320</v>
      </c>
      <c r="B5" s="236" t="s">
        <v>463</v>
      </c>
      <c r="C5" s="22">
        <f>__0_PatNum</f>
        <v>123456</v>
      </c>
    </row>
    <row r="6" spans="1:3 4305:4305" x14ac:dyDescent="0.35">
      <c r="A6" s="577" t="s">
        <v>479</v>
      </c>
      <c r="B6" s="236" t="s">
        <v>459</v>
      </c>
      <c r="C6" t="str">
        <f>IF(PedPrtAfspr!C51&lt;&gt;0,PedPrtAfspr!C51&amp;" "&amp;PedPrtAfspr!E51&amp;" "&amp;PedPrtAfspr!F51&amp;" "&amp;PedPrtAfspr!G51&amp;", totaal "&amp;PedPrtAfspr!J51&amp;" "&amp;PedPrtAfspr!I51,"")</f>
        <v/>
      </c>
    </row>
    <row r="7" spans="1:3 4305:4305" x14ac:dyDescent="0.35">
      <c r="A7" t="s">
        <v>479</v>
      </c>
      <c r="B7" s="236" t="s">
        <v>460</v>
      </c>
      <c r="C7" t="str">
        <f>IF(PedPrtAfspr!C52&lt;&gt;0,PedPrtAfspr!C52&amp;" "&amp;PedPrtAfspr!E52&amp;" "&amp;PedPrtAfspr!F52&amp;" "&amp;PedPrtAfspr!G52&amp;", totaal "&amp;PedPrtAfspr!J52&amp;" "&amp;PedPrtAfspr!I52,"")</f>
        <v/>
      </c>
    </row>
    <row r="8" spans="1:3 4305:4305" x14ac:dyDescent="0.35">
      <c r="A8" t="s">
        <v>479</v>
      </c>
      <c r="B8" s="236" t="s">
        <v>461</v>
      </c>
      <c r="C8" t="str">
        <f>IF(PedPrtAfspr!C53&lt;&gt;0,PedPrtAfspr!C53&amp;" "&amp;PedPrtAfspr!E53&amp;" "&amp;PedPrtAfspr!F53&amp;" "&amp;PedPrtAfspr!G53&amp;", totaal "&amp;PedPrtAfspr!J53&amp;" "&amp;PedPrtAfspr!I53,"")</f>
        <v/>
      </c>
    </row>
    <row r="9" spans="1:3 4305:4305" x14ac:dyDescent="0.35">
      <c r="A9" t="s">
        <v>479</v>
      </c>
      <c r="B9" s="235" t="s">
        <v>462</v>
      </c>
      <c r="C9" t="str">
        <f>IF(PedPrtAfspr!C54&lt;&gt;0,PedPrtAfspr!C54&amp;" "&amp;PedPrtAfspr!E54&amp;" "&amp;PedPrtAfspr!F54&amp;" "&amp;PedPrtAfspr!G54&amp;", totaal "&amp;PedPrtAfspr!J54&amp;" "&amp;PedPrtAfspr!I54,"")</f>
        <v/>
      </c>
    </row>
    <row r="10" spans="1:3 4305:4305" x14ac:dyDescent="0.35">
      <c r="A10" t="s">
        <v>479</v>
      </c>
      <c r="B10" s="235" t="s">
        <v>463</v>
      </c>
      <c r="C10" t="str">
        <f>IF(PedPrtAfspr!C55&lt;&gt;0,PedPrtAfspr!C55&amp;" "&amp;PedPrtAfspr!E55&amp;" "&amp;PedPrtAfspr!F55&amp;" "&amp;PedPrtAfspr!G55&amp;", totaal "&amp;PedPrtAfspr!J55&amp;" "&amp;PedPrtAfspr!I55,"")</f>
        <v/>
      </c>
    </row>
    <row r="11" spans="1:3 4305:4305" x14ac:dyDescent="0.35">
      <c r="A11" t="s">
        <v>479</v>
      </c>
      <c r="B11" s="235" t="s">
        <v>464</v>
      </c>
      <c r="C11" t="str">
        <f>IF(PedPrtAfspr!C56&lt;&gt;0,PedPrtAfspr!C56&amp;" "&amp;PedPrtAfspr!E56&amp;" "&amp;PedPrtAfspr!F56&amp;" "&amp;PedPrtAfspr!G56&amp;", totaal "&amp;PedPrtAfspr!J56&amp;" "&amp;PedPrtAfspr!I56,"")</f>
        <v/>
      </c>
    </row>
    <row r="12" spans="1:3 4305:4305" x14ac:dyDescent="0.35">
      <c r="A12" t="s">
        <v>479</v>
      </c>
      <c r="B12" s="235" t="s">
        <v>465</v>
      </c>
      <c r="C12" t="str">
        <f>IF(PedPrtAfspr!C57&lt;&gt;0,PedPrtAfspr!C57&amp;" "&amp;PedPrtAfspr!E57&amp;" "&amp;PedPrtAfspr!F57&amp;" "&amp;PedPrtAfspr!G57&amp;", totaal "&amp;PedPrtAfspr!J57&amp;" "&amp;PedPrtAfspr!I57,"")</f>
        <v/>
      </c>
    </row>
    <row r="13" spans="1:3 4305:4305" x14ac:dyDescent="0.35">
      <c r="A13" t="s">
        <v>479</v>
      </c>
      <c r="B13" s="235" t="s">
        <v>466</v>
      </c>
      <c r="C13" t="str">
        <f>IF(PedPrtAfspr!C58&lt;&gt;0,PedPrtAfspr!C58&amp;" "&amp;PedPrtAfspr!E58&amp;" "&amp;PedPrtAfspr!F58&amp;" "&amp;PedPrtAfspr!G58&amp;", totaal "&amp;PedPrtAfspr!J58&amp;" "&amp;PedPrtAfspr!I58,"")</f>
        <v/>
      </c>
    </row>
    <row r="14" spans="1:3 4305:4305" x14ac:dyDescent="0.35">
      <c r="A14" t="s">
        <v>479</v>
      </c>
      <c r="B14" s="235" t="s">
        <v>467</v>
      </c>
      <c r="C14" t="str">
        <f>IF(PedPrtAfspr!C59&lt;&gt;0,PedPrtAfspr!C59&amp;" "&amp;PedPrtAfspr!E59&amp;" "&amp;PedPrtAfspr!F59&amp;" "&amp;PedPrtAfspr!G59&amp;", totaal "&amp;PedPrtAfspr!J59&amp;" "&amp;PedPrtAfspr!I59,"")</f>
        <v/>
      </c>
    </row>
    <row r="15" spans="1:3 4305:4305" x14ac:dyDescent="0.35">
      <c r="A15" t="s">
        <v>479</v>
      </c>
      <c r="B15" s="235">
        <v>10</v>
      </c>
      <c r="C15" t="str">
        <f>IF(PedPrtAfspr!C60&lt;&gt;0,PedPrtAfspr!C60&amp;" "&amp;PedPrtAfspr!E60&amp;" "&amp;PedPrtAfspr!F60&amp;" "&amp;PedPrtAfspr!G60&amp;", totaal "&amp;PedPrtAfspr!J60&amp;" "&amp;PedPrtAfspr!I60,"")</f>
        <v/>
      </c>
    </row>
    <row r="16" spans="1:3 4305:4305" x14ac:dyDescent="0.35">
      <c r="A16" t="s">
        <v>479</v>
      </c>
      <c r="B16" s="235">
        <v>11</v>
      </c>
      <c r="C16" t="str">
        <f>IF(PedPrtAfspr!C61&lt;&gt;0,PedPrtAfspr!C61&amp;" "&amp;PedPrtAfspr!E61&amp;" "&amp;PedPrtAfspr!F61&amp;" "&amp;PedPrtAfspr!G61&amp;", totaal "&amp;PedPrtAfspr!J61&amp;" "&amp;PedPrtAfspr!I61,"")</f>
        <v/>
      </c>
    </row>
    <row r="17" spans="1:6" x14ac:dyDescent="0.35">
      <c r="A17" t="s">
        <v>479</v>
      </c>
      <c r="B17" s="235">
        <v>12</v>
      </c>
      <c r="C17" t="str">
        <f>IF(PedPrtAfspr!C62&lt;&gt;0,PedPrtAfspr!C62&amp;" "&amp;PedPrtAfspr!E62&amp;" "&amp;PedPrtAfspr!F62&amp;" "&amp;PedPrtAfspr!G62&amp;", totaal "&amp;PedPrtAfspr!J62&amp;" "&amp;PedPrtAfspr!I62,"")</f>
        <v/>
      </c>
    </row>
    <row r="18" spans="1:6" x14ac:dyDescent="0.35">
      <c r="A18" t="s">
        <v>479</v>
      </c>
      <c r="B18" s="235">
        <v>13</v>
      </c>
      <c r="C18" t="str">
        <f>IF(PedPrtAfspr!C63&lt;&gt;0,PedPrtAfspr!C63&amp;" "&amp;PedPrtAfspr!E63&amp;" "&amp;PedPrtAfspr!F63&amp;" "&amp;PedPrtAfspr!G63&amp;", totaal "&amp;PedPrtAfspr!J63&amp;" "&amp;PedPrtAfspr!I63,"")</f>
        <v/>
      </c>
    </row>
    <row r="19" spans="1:6" x14ac:dyDescent="0.35">
      <c r="A19" t="s">
        <v>479</v>
      </c>
      <c r="B19" s="235">
        <v>14</v>
      </c>
      <c r="C19" t="str">
        <f>IF(PedPrtAfspr!C64&lt;&gt;0,PedPrtAfspr!C64&amp;" "&amp;PedPrtAfspr!E64&amp;" "&amp;PedPrtAfspr!F64&amp;" "&amp;PedPrtAfspr!G64&amp;", totaal "&amp;PedPrtAfspr!J64&amp;" "&amp;PedPrtAfspr!I64,"")</f>
        <v/>
      </c>
    </row>
    <row r="20" spans="1:6" x14ac:dyDescent="0.35">
      <c r="A20" t="s">
        <v>479</v>
      </c>
      <c r="B20" s="235">
        <v>15</v>
      </c>
      <c r="C20" t="str">
        <f>IF(PedPrtAfspr!C65&lt;&gt;0,PedPrtAfspr!C65&amp;" "&amp;PedPrtAfspr!E65&amp;" "&amp;PedPrtAfspr!F65&amp;" "&amp;PedPrtAfspr!G65&amp;", totaal "&amp;PedPrtAfspr!J65&amp;" "&amp;PedPrtAfspr!I65,"")</f>
        <v/>
      </c>
    </row>
    <row r="21" spans="1:6" x14ac:dyDescent="0.35">
      <c r="A21" t="s">
        <v>479</v>
      </c>
      <c r="B21" s="235">
        <v>16</v>
      </c>
      <c r="C21" t="str">
        <f>IF(GlobBerOpm!C3&lt;&gt;0,PedPrtAfspr!C67&amp;" "&amp;GlobBerOpm!C3,"")</f>
        <v/>
      </c>
    </row>
    <row r="22" spans="1:6" x14ac:dyDescent="0.35">
      <c r="A22" t="s">
        <v>480</v>
      </c>
      <c r="B22" s="235" t="s">
        <v>459</v>
      </c>
      <c r="C22" t="str">
        <f>PedBerMedDisc!AC2</f>
        <v/>
      </c>
    </row>
    <row r="23" spans="1:6" x14ac:dyDescent="0.35">
      <c r="A23" t="s">
        <v>480</v>
      </c>
      <c r="B23" s="235" t="s">
        <v>460</v>
      </c>
      <c r="C23" t="str">
        <f>PedBerMedDisc!AC3</f>
        <v/>
      </c>
    </row>
    <row r="24" spans="1:6" x14ac:dyDescent="0.35">
      <c r="A24" t="s">
        <v>480</v>
      </c>
      <c r="B24" s="235" t="s">
        <v>461</v>
      </c>
      <c r="C24" t="str">
        <f>PedBerMedDisc!AC4</f>
        <v/>
      </c>
    </row>
    <row r="25" spans="1:6" x14ac:dyDescent="0.35">
      <c r="A25" t="s">
        <v>480</v>
      </c>
      <c r="B25" s="235" t="s">
        <v>462</v>
      </c>
      <c r="C25" t="str">
        <f>PedBerMedDisc!AC5</f>
        <v/>
      </c>
    </row>
    <row r="26" spans="1:6" x14ac:dyDescent="0.35">
      <c r="A26" t="s">
        <v>480</v>
      </c>
      <c r="B26" s="235" t="s">
        <v>463</v>
      </c>
      <c r="C26" t="str">
        <f>PedBerMedDisc!AC6</f>
        <v/>
      </c>
    </row>
    <row r="27" spans="1:6" x14ac:dyDescent="0.35">
      <c r="A27" t="s">
        <v>480</v>
      </c>
      <c r="B27" s="235" t="s">
        <v>464</v>
      </c>
      <c r="C27" t="str">
        <f>PedBerMedDisc!AC7</f>
        <v/>
      </c>
    </row>
    <row r="28" spans="1:6" x14ac:dyDescent="0.35">
      <c r="A28" t="s">
        <v>480</v>
      </c>
      <c r="B28" s="235" t="s">
        <v>465</v>
      </c>
      <c r="C28" t="str">
        <f>PedBerMedDisc!AC8</f>
        <v/>
      </c>
    </row>
    <row r="29" spans="1:6" x14ac:dyDescent="0.35">
      <c r="A29" t="s">
        <v>480</v>
      </c>
      <c r="B29" s="235" t="s">
        <v>466</v>
      </c>
      <c r="C29" t="str">
        <f>PedBerMedDisc!AC9</f>
        <v/>
      </c>
      <c r="E29" s="517"/>
      <c r="F29" s="520"/>
    </row>
    <row r="30" spans="1:6" x14ac:dyDescent="0.35">
      <c r="A30" t="s">
        <v>480</v>
      </c>
      <c r="B30" s="235" t="s">
        <v>467</v>
      </c>
      <c r="C30" t="str">
        <f>PedBerMedDisc!AC10</f>
        <v/>
      </c>
    </row>
    <row r="31" spans="1:6" x14ac:dyDescent="0.35">
      <c r="A31" t="s">
        <v>480</v>
      </c>
      <c r="B31" s="235">
        <v>10</v>
      </c>
      <c r="C31" t="str">
        <f>PedBerMedDisc!AC11</f>
        <v/>
      </c>
    </row>
    <row r="32" spans="1:6" x14ac:dyDescent="0.35">
      <c r="A32" t="s">
        <v>480</v>
      </c>
      <c r="B32" s="235">
        <v>11</v>
      </c>
      <c r="C32" t="str">
        <f>PedBerMedDisc!AC12</f>
        <v/>
      </c>
    </row>
    <row r="33" spans="1:7" x14ac:dyDescent="0.35">
      <c r="A33" t="s">
        <v>480</v>
      </c>
      <c r="B33" s="235">
        <v>12</v>
      </c>
      <c r="C33" t="str">
        <f>PedBerMedDisc!AC13</f>
        <v/>
      </c>
    </row>
    <row r="34" spans="1:7" x14ac:dyDescent="0.35">
      <c r="A34" t="s">
        <v>480</v>
      </c>
      <c r="B34" s="235">
        <v>13</v>
      </c>
      <c r="C34" t="str">
        <f>PedBerMedDisc!AC14</f>
        <v/>
      </c>
    </row>
    <row r="35" spans="1:7" x14ac:dyDescent="0.35">
      <c r="A35" t="s">
        <v>480</v>
      </c>
      <c r="B35" s="235">
        <v>14</v>
      </c>
      <c r="C35" t="str">
        <f>PedBerMedDisc!AC15</f>
        <v/>
      </c>
    </row>
    <row r="36" spans="1:7" x14ac:dyDescent="0.35">
      <c r="A36" t="s">
        <v>480</v>
      </c>
      <c r="B36" s="235">
        <v>15</v>
      </c>
      <c r="C36" t="str">
        <f>PedBerMedDisc!AC16</f>
        <v/>
      </c>
    </row>
    <row r="37" spans="1:7" x14ac:dyDescent="0.35">
      <c r="A37" t="s">
        <v>480</v>
      </c>
      <c r="B37" s="235">
        <v>16</v>
      </c>
      <c r="C37" t="str">
        <f>PedBerMedDisc!AC17</f>
        <v/>
      </c>
    </row>
    <row r="38" spans="1:7" x14ac:dyDescent="0.35">
      <c r="A38" t="s">
        <v>480</v>
      </c>
      <c r="B38" s="235">
        <v>17</v>
      </c>
      <c r="C38" t="str">
        <f>PedBerMedDisc!AC18</f>
        <v/>
      </c>
    </row>
    <row r="39" spans="1:7" x14ac:dyDescent="0.35">
      <c r="A39" t="s">
        <v>480</v>
      </c>
      <c r="B39" s="235">
        <v>18</v>
      </c>
      <c r="C39" t="str">
        <f>PedBerMedDisc!AC19</f>
        <v/>
      </c>
    </row>
    <row r="40" spans="1:7" x14ac:dyDescent="0.35">
      <c r="A40" t="s">
        <v>480</v>
      </c>
      <c r="B40" s="235">
        <v>19</v>
      </c>
      <c r="C40" t="str">
        <f>PedBerMedDisc!AC20</f>
        <v/>
      </c>
    </row>
    <row r="41" spans="1:7" x14ac:dyDescent="0.35">
      <c r="A41" t="s">
        <v>480</v>
      </c>
      <c r="B41" s="235">
        <v>20</v>
      </c>
      <c r="C41" t="str">
        <f>PedBerMedDisc!AC21</f>
        <v/>
      </c>
    </row>
    <row r="42" spans="1:7" x14ac:dyDescent="0.35">
      <c r="A42" s="517" t="s">
        <v>480</v>
      </c>
      <c r="B42" s="520">
        <v>21</v>
      </c>
      <c r="C42" s="517" t="str">
        <f>PedBerMedDisc!AC22</f>
        <v/>
      </c>
      <c r="F42" s="517"/>
      <c r="G42" s="517"/>
    </row>
    <row r="43" spans="1:7" x14ac:dyDescent="0.35">
      <c r="A43" s="517" t="s">
        <v>480</v>
      </c>
      <c r="B43" s="520">
        <v>22</v>
      </c>
      <c r="C43" s="517" t="str">
        <f>PedBerMedDisc!AC23</f>
        <v/>
      </c>
      <c r="F43" s="517"/>
      <c r="G43" s="517"/>
    </row>
    <row r="44" spans="1:7" s="517" customFormat="1" x14ac:dyDescent="0.35">
      <c r="A44" s="517" t="s">
        <v>480</v>
      </c>
      <c r="B44" s="520">
        <v>23</v>
      </c>
      <c r="C44" s="517" t="str">
        <f>PedBerMedDisc!AC24</f>
        <v/>
      </c>
      <c r="D44"/>
      <c r="E44"/>
    </row>
    <row r="45" spans="1:7" x14ac:dyDescent="0.35">
      <c r="A45" s="517" t="s">
        <v>480</v>
      </c>
      <c r="B45" s="520">
        <v>24</v>
      </c>
      <c r="C45" s="517" t="str">
        <f>PedBerMedDisc!AC25</f>
        <v/>
      </c>
      <c r="F45" s="517"/>
      <c r="G45" s="517"/>
    </row>
    <row r="46" spans="1:7" x14ac:dyDescent="0.35">
      <c r="A46" s="517" t="s">
        <v>480</v>
      </c>
      <c r="B46" s="520">
        <v>25</v>
      </c>
      <c r="C46" s="517" t="str">
        <f>PedBerMedDisc!AC26</f>
        <v/>
      </c>
    </row>
    <row r="47" spans="1:7" x14ac:dyDescent="0.35">
      <c r="A47" s="517" t="s">
        <v>480</v>
      </c>
      <c r="B47" s="520">
        <v>26</v>
      </c>
      <c r="C47" s="517" t="str">
        <f>PedBerMedDisc!AC27</f>
        <v/>
      </c>
    </row>
    <row r="48" spans="1:7" x14ac:dyDescent="0.35">
      <c r="A48" s="517" t="s">
        <v>480</v>
      </c>
      <c r="B48" s="520">
        <v>27</v>
      </c>
      <c r="C48" s="517" t="str">
        <f>PedBerMedDisc!AC28</f>
        <v/>
      </c>
    </row>
    <row r="49" spans="1:5" x14ac:dyDescent="0.35">
      <c r="A49" s="517" t="s">
        <v>480</v>
      </c>
      <c r="B49" s="520">
        <v>28</v>
      </c>
      <c r="C49" s="517" t="str">
        <f>PedBerMedDisc!AC29</f>
        <v/>
      </c>
    </row>
    <row r="50" spans="1:5" x14ac:dyDescent="0.35">
      <c r="A50" s="517" t="s">
        <v>480</v>
      </c>
      <c r="B50" s="520">
        <v>29</v>
      </c>
      <c r="C50" s="517" t="str">
        <f>PedBerMedDisc!AC30</f>
        <v/>
      </c>
    </row>
    <row r="51" spans="1:5" x14ac:dyDescent="0.35">
      <c r="A51" s="517" t="s">
        <v>480</v>
      </c>
      <c r="B51" s="520">
        <v>30</v>
      </c>
      <c r="C51" s="517" t="str">
        <f>PedBerMedDisc!AC31</f>
        <v/>
      </c>
    </row>
    <row r="52" spans="1:5" x14ac:dyDescent="0.35">
      <c r="A52" s="518" t="s">
        <v>962</v>
      </c>
      <c r="B52" s="520" t="s">
        <v>459</v>
      </c>
      <c r="C52" s="517" t="str">
        <f>IF(PedGuiAfsprExtra!C41="","",CONCATENATE(PedGuiAfsprExtra!B41,": ",PedGuiAfsprExtra!C41))</f>
        <v/>
      </c>
      <c r="D52" s="517"/>
      <c r="E52" s="518"/>
    </row>
    <row r="53" spans="1:5" x14ac:dyDescent="0.35">
      <c r="A53" s="518" t="s">
        <v>962</v>
      </c>
      <c r="B53" s="520" t="s">
        <v>460</v>
      </c>
      <c r="C53" s="517" t="str">
        <f>IF(PedGuiAfsprExtra!C42="","",CONCATENATE(PedGuiAfsprExtra!B42,": ",PedGuiAfsprExtra!C42))</f>
        <v/>
      </c>
      <c r="D53" s="517"/>
      <c r="E53" s="518"/>
    </row>
    <row r="54" spans="1:5" x14ac:dyDescent="0.35">
      <c r="A54" s="518" t="s">
        <v>962</v>
      </c>
      <c r="B54" s="520" t="s">
        <v>461</v>
      </c>
      <c r="C54" s="517" t="str">
        <f>IF(PedGuiAfsprExtra!C43="","",CONCATENATE(PedGuiAfsprExtra!B43,": ",PedGuiAfsprExtra!C43))</f>
        <v/>
      </c>
      <c r="D54" s="517"/>
      <c r="E54" s="518"/>
    </row>
    <row r="55" spans="1:5" x14ac:dyDescent="0.35">
      <c r="A55" s="518" t="s">
        <v>962</v>
      </c>
      <c r="B55" s="520" t="s">
        <v>462</v>
      </c>
      <c r="C55" s="517" t="str">
        <f>IF(PedGuiAfsprExtra!C44="","",CONCATENATE(PedGuiAfsprExtra!B44,": ",PedGuiAfsprExtra!C44))</f>
        <v/>
      </c>
      <c r="D55" s="517"/>
      <c r="E55" s="518"/>
    </row>
    <row r="56" spans="1:5" x14ac:dyDescent="0.35">
      <c r="A56" t="s">
        <v>481</v>
      </c>
      <c r="B56" s="235" t="s">
        <v>459</v>
      </c>
      <c r="C56" t="str">
        <f>IF(PedPrtAfspr!C39&lt;&gt;0,PedPrtAfspr!C39,"")</f>
        <v/>
      </c>
    </row>
    <row r="57" spans="1:5" x14ac:dyDescent="0.35">
      <c r="A57" t="s">
        <v>481</v>
      </c>
      <c r="B57" s="235" t="s">
        <v>460</v>
      </c>
      <c r="C57" t="str">
        <f>IF(PedPrtAfspr!C40&lt;&gt;0,PedPrtAfspr!C40,"")</f>
        <v/>
      </c>
    </row>
    <row r="58" spans="1:5" x14ac:dyDescent="0.35">
      <c r="A58" t="s">
        <v>481</v>
      </c>
      <c r="B58" s="235" t="s">
        <v>461</v>
      </c>
      <c r="C58" t="str">
        <f>IF(PedPrtAfspr!C41&lt;&gt;0,PedPrtAfspr!C41,"")</f>
        <v/>
      </c>
    </row>
    <row r="59" spans="1:5" x14ac:dyDescent="0.35">
      <c r="A59" t="s">
        <v>481</v>
      </c>
      <c r="B59" s="235" t="s">
        <v>462</v>
      </c>
      <c r="C59" t="str">
        <f>IF(PedPrtAfspr!C42&lt;&gt;0,PedPrtAfspr!C42,"")</f>
        <v/>
      </c>
    </row>
    <row r="60" spans="1:5" x14ac:dyDescent="0.35">
      <c r="A60" t="s">
        <v>481</v>
      </c>
      <c r="B60" s="235" t="s">
        <v>463</v>
      </c>
      <c r="C60" t="str">
        <f>IF(PedPrtAfspr!C43&lt;&gt;0,PedPrtAfspr!C43,"")</f>
        <v/>
      </c>
    </row>
    <row r="61" spans="1:5" x14ac:dyDescent="0.35">
      <c r="A61" t="s">
        <v>481</v>
      </c>
      <c r="B61" s="235" t="s">
        <v>464</v>
      </c>
      <c r="C61" t="str">
        <f>IF(PedPrtAfspr!C44&lt;&gt;0,PedPrtAfspr!C44,"")</f>
        <v/>
      </c>
    </row>
    <row r="62" spans="1:5" x14ac:dyDescent="0.35">
      <c r="A62" t="s">
        <v>481</v>
      </c>
      <c r="B62" s="235" t="s">
        <v>465</v>
      </c>
      <c r="C62" t="str">
        <f>IF(PedPrtAfspr!D67&lt;&gt;0,"Opmerkingen: "&amp;PedPrtAfspr!D67,"")</f>
        <v/>
      </c>
    </row>
    <row r="63" spans="1:5" s="517" customFormat="1" x14ac:dyDescent="0.35">
      <c r="A63" s="518" t="s">
        <v>20</v>
      </c>
      <c r="B63" s="521" t="s">
        <v>459</v>
      </c>
      <c r="C63" s="517" t="str">
        <f>IF(PedBerIVenPM!D2&gt;1,"Pacemaker: "&amp;INDEX(tblPacemakerPositie,PedBerIVenPM!D2)&amp;", Modus:"&amp;INDEX(tblPacemakerModus,PedBerIVenPM!E2)&amp;"; Frequentie:"&amp;PedBerIVenPM!G1&amp;", Atriale output:"&amp;PedBerIVenPM!G2&amp;", Ventr. Output:"&amp;PedBerIVenPM!G3&amp;", AV interval:"&amp;PedBerIVenPM!G4&amp;", Atriale sens.:"&amp;PedBerIVenPM!G5&amp;", Ventr. sens.:"&amp;PedBerIVenPM!G6,"")</f>
        <v/>
      </c>
    </row>
    <row r="64" spans="1:5" x14ac:dyDescent="0.35">
      <c r="A64" t="s">
        <v>482</v>
      </c>
      <c r="B64" s="235" t="s">
        <v>459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 xml:space="preserve">Enteraal voeding:  </v>
      </c>
    </row>
    <row r="65" spans="1:3" x14ac:dyDescent="0.35">
      <c r="A65" t="s">
        <v>482</v>
      </c>
      <c r="B65" s="235" t="s">
        <v>460</v>
      </c>
      <c r="C65" t="str">
        <f>IF(PedPrtAfspr!D12&lt;&gt;0,"Opmerkingen: "&amp;PedPrtAfspr!D12,"")</f>
        <v/>
      </c>
    </row>
    <row r="66" spans="1:3" x14ac:dyDescent="0.35">
      <c r="A66" t="s">
        <v>482</v>
      </c>
      <c r="B66" s="235" t="s">
        <v>461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35">
      <c r="A67" t="s">
        <v>482</v>
      </c>
      <c r="B67" s="235" t="s">
        <v>462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35">
      <c r="A68" t="s">
        <v>482</v>
      </c>
      <c r="B68" s="235" t="s">
        <v>463</v>
      </c>
      <c r="C68" t="str">
        <f>IF(PedPrtAfspr!E85&lt;&gt;" ",PedPrtAfspr!D85&amp;": "&amp;PedPrtAfspr!E85,"")</f>
        <v/>
      </c>
    </row>
    <row r="69" spans="1:3" x14ac:dyDescent="0.35">
      <c r="A69" t="s">
        <v>482</v>
      </c>
      <c r="B69" s="235" t="s">
        <v>464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35">
      <c r="A70" t="s">
        <v>482</v>
      </c>
      <c r="B70" s="235" t="s">
        <v>465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35">
      <c r="A71" t="s">
        <v>482</v>
      </c>
      <c r="B71" s="236" t="s">
        <v>466</v>
      </c>
      <c r="C71" t="str">
        <f>IF(PedGuiEntTPN!D32&lt;&gt;0,"Opmerkingen: "&amp;PedGuiEntTPN!D32,"")</f>
        <v/>
      </c>
    </row>
    <row r="72" spans="1:3" x14ac:dyDescent="0.35">
      <c r="A72" t="s">
        <v>159</v>
      </c>
      <c r="B72" s="235" t="s">
        <v>459</v>
      </c>
      <c r="C72" t="str">
        <f>IF(PedPrtAfspr!D15&lt;&gt;"",PedPrtAfspr!C15&amp;": "&amp;PedPrtAfspr!D15,"")</f>
        <v/>
      </c>
    </row>
    <row r="73" spans="1:3" x14ac:dyDescent="0.35">
      <c r="A73" t="s">
        <v>159</v>
      </c>
      <c r="B73" s="235" t="s">
        <v>460</v>
      </c>
      <c r="C73" t="str">
        <f>IF(PedPrtAfspr!D16&lt;&gt;"",PedPrtAfspr!C16&amp;": "&amp;PedPrtAfspr!D16,"")</f>
        <v/>
      </c>
    </row>
    <row r="74" spans="1:3" x14ac:dyDescent="0.35">
      <c r="A74" t="s">
        <v>159</v>
      </c>
      <c r="B74" s="235" t="s">
        <v>461</v>
      </c>
      <c r="C74" t="str">
        <f>IF(PedPrtAfspr!D17&lt;&gt;"",PedPrtAfspr!C17&amp;": "&amp;PedPrtAfspr!D17,"")</f>
        <v/>
      </c>
    </row>
    <row r="75" spans="1:3" x14ac:dyDescent="0.35">
      <c r="A75" t="s">
        <v>159</v>
      </c>
      <c r="B75" s="235" t="s">
        <v>462</v>
      </c>
      <c r="C75" t="str">
        <f>IF(PedPrtAfspr!D18&lt;&gt;"",PedPrtAfspr!C18&amp;": "&amp;PedPrtAfspr!D18,"")</f>
        <v/>
      </c>
    </row>
    <row r="76" spans="1:3" x14ac:dyDescent="0.35">
      <c r="A76" t="s">
        <v>159</v>
      </c>
      <c r="B76" s="235" t="s">
        <v>463</v>
      </c>
      <c r="C76" t="str">
        <f>IF(PedPrtAfspr!D19&lt;&gt;"",PedPrtAfspr!C19&amp;": "&amp;PedPrtAfspr!D19,"")</f>
        <v/>
      </c>
    </row>
    <row r="77" spans="1:3" x14ac:dyDescent="0.35">
      <c r="A77" t="s">
        <v>159</v>
      </c>
      <c r="B77" s="235" t="s">
        <v>464</v>
      </c>
      <c r="C77" t="str">
        <f>IF(PedPrtAfspr!D20&lt;&gt;0,PedPrtAfspr!C20&amp;": "&amp;PedPrtAfspr!D20,"")</f>
        <v/>
      </c>
    </row>
    <row r="78" spans="1:3" x14ac:dyDescent="0.35">
      <c r="A78" t="s">
        <v>381</v>
      </c>
      <c r="B78" s="235" t="s">
        <v>459</v>
      </c>
      <c r="C78" t="str">
        <f>PedPrtAfspr!C96&amp;": "&amp;PedPrtAfspr!D96</f>
        <v>Vocht: 0 ml/kg</v>
      </c>
    </row>
    <row r="79" spans="1:3" x14ac:dyDescent="0.35">
      <c r="A79" t="s">
        <v>381</v>
      </c>
      <c r="B79" s="235" t="s">
        <v>460</v>
      </c>
      <c r="C79" t="str">
        <f>PedPrtAfspr!C97&amp;": "&amp;PedPrtAfspr!D97</f>
        <v>Eiwit: 0  gram/kg</v>
      </c>
    </row>
    <row r="80" spans="1:3" x14ac:dyDescent="0.35">
      <c r="A80" t="s">
        <v>381</v>
      </c>
      <c r="B80" s="235" t="s">
        <v>461</v>
      </c>
      <c r="C80" t="str">
        <f>PedPrtAfspr!C98&amp;": "&amp;PedPrtAfspr!D98</f>
        <v>Glucose/KH: 0 g/kg</v>
      </c>
    </row>
    <row r="81" spans="1:3" x14ac:dyDescent="0.35">
      <c r="A81" t="s">
        <v>381</v>
      </c>
      <c r="B81" s="235" t="s">
        <v>462</v>
      </c>
      <c r="C81" t="str">
        <f>PedPrtAfspr!E96&amp;": "&amp;PedPrtAfspr!F96</f>
        <v>Calorieen: 0 kCal/kg</v>
      </c>
    </row>
    <row r="82" spans="1:3" x14ac:dyDescent="0.35">
      <c r="A82" t="s">
        <v>381</v>
      </c>
      <c r="B82" s="235" t="s">
        <v>463</v>
      </c>
      <c r="C82" t="str">
        <f>PedPrtAfspr!E97&amp;": "&amp;PedPrtAfspr!F97</f>
        <v>Vet: 0 gram/kg</v>
      </c>
    </row>
    <row r="83" spans="1:3" x14ac:dyDescent="0.35">
      <c r="A83" t="s">
        <v>381</v>
      </c>
      <c r="B83" s="235" t="s">
        <v>464</v>
      </c>
      <c r="C83" t="str">
        <f>PedPrtAfspr!G96&amp;": "&amp;PedPrtAfspr!H96</f>
        <v>Kalium: 0 mmol/kg</v>
      </c>
    </row>
    <row r="84" spans="1:3" x14ac:dyDescent="0.35">
      <c r="A84" t="s">
        <v>381</v>
      </c>
      <c r="B84" s="235" t="s">
        <v>465</v>
      </c>
      <c r="C84" t="str">
        <f>PedPrtAfspr!G97&amp;": "&amp;PedPrtAfspr!H97</f>
        <v>Calcium: 0 mmol/kg</v>
      </c>
    </row>
    <row r="85" spans="1:3" x14ac:dyDescent="0.35">
      <c r="A85" t="s">
        <v>381</v>
      </c>
      <c r="B85" s="235" t="s">
        <v>466</v>
      </c>
      <c r="C85" t="str">
        <f>PedPrtAfspr!G98&amp;": "&amp;PedPrtAfspr!H98</f>
        <v>Magnesium: 0 mmol/kg</v>
      </c>
    </row>
    <row r="86" spans="1:3" x14ac:dyDescent="0.35">
      <c r="A86" t="s">
        <v>381</v>
      </c>
      <c r="B86" s="235" t="s">
        <v>467</v>
      </c>
      <c r="C86" t="str">
        <f>PedPrtAfspr!I96&amp;": "&amp;PedPrtAfspr!J96</f>
        <v>Natrium : 0 mmol/kg</v>
      </c>
    </row>
    <row r="87" spans="1:3" x14ac:dyDescent="0.35">
      <c r="A87" t="s">
        <v>381</v>
      </c>
      <c r="B87" s="235">
        <v>10</v>
      </c>
      <c r="C87" t="str">
        <f>PedPrtAfspr!I97&amp;": "&amp;PedPrtAfspr!J97</f>
        <v>Fosfaat: 0 mmol/kg</v>
      </c>
    </row>
    <row r="88" spans="1:3" x14ac:dyDescent="0.35">
      <c r="A88" s="518" t="s">
        <v>693</v>
      </c>
      <c r="B88" s="517">
        <v>6</v>
      </c>
      <c r="C88" s="519" t="str">
        <f ca="1">NeoGuiAfspraken!H15</f>
        <v>30 weken en 0 dag(-en)</v>
      </c>
    </row>
    <row r="89" spans="1:3" x14ac:dyDescent="0.35">
      <c r="A89" s="518" t="s">
        <v>1163</v>
      </c>
      <c r="B89" s="520" t="s">
        <v>459</v>
      </c>
      <c r="C89" t="str">
        <f>IF(NeoBerIV!B20&gt;1,INDEX(tbl_Neo_MedIV,NeoBerIV!B20, 1)&amp;" "&amp;NeoGuiAfspraken!C32&amp;" "&amp;NeoGuiAfspraken!D32&amp;" "&amp; INDEX(tbl_Neo_Opl,NeoBerIV!E20,1)&amp;" " &amp; NeoGuiAfspraken!G32&amp;" (="&amp;NeoGuiAfspraken!H32&amp;" "&amp;NeoGuiAfspraken!I32&amp;"), inlooptijd: "&amp;NeoGuiAfspraken!N32,"")</f>
        <v/>
      </c>
    </row>
    <row r="90" spans="1:3" x14ac:dyDescent="0.35">
      <c r="A90" s="518" t="s">
        <v>1163</v>
      </c>
      <c r="B90" s="520" t="s">
        <v>460</v>
      </c>
      <c r="C90" s="517" t="str">
        <f>IF(NeoBerIV!B21&gt;1,INDEX(tbl_Neo_MedIV,NeoBerIV!B21, 1)&amp;" "&amp;NeoGuiAfspraken!C33&amp;" "&amp;NeoGuiAfspraken!D33&amp;" "&amp; INDEX(tbl_Neo_Opl,NeoBerIV!E21,1)&amp;" " &amp; NeoGuiAfspraken!G33&amp;" (="&amp;NeoGuiAfspraken!H33&amp;" "&amp;NeoGuiAfspraken!I33&amp;"), inlooptijd: "&amp;NeoGuiAfspraken!N33,"")</f>
        <v/>
      </c>
    </row>
    <row r="91" spans="1:3" x14ac:dyDescent="0.35">
      <c r="A91" s="518" t="s">
        <v>1163</v>
      </c>
      <c r="B91" s="520" t="s">
        <v>461</v>
      </c>
      <c r="C91" s="517" t="str">
        <f>IF(NeoBerIV!B22&gt;1,INDEX(tbl_Neo_MedIV,NeoBerIV!B22, 1)&amp;" "&amp;NeoGuiAfspraken!C34&amp;" "&amp;NeoGuiAfspraken!D34&amp;" "&amp; INDEX(tbl_Neo_Opl,NeoBerIV!E22,1)&amp;" " &amp; NeoGuiAfspraken!G34&amp;" (="&amp;NeoGuiAfspraken!H34&amp;" "&amp;NeoGuiAfspraken!I34&amp;"), inlooptijd: "&amp;NeoGuiAfspraken!N34,"")</f>
        <v/>
      </c>
    </row>
    <row r="92" spans="1:3" x14ac:dyDescent="0.35">
      <c r="A92" s="518" t="s">
        <v>1163</v>
      </c>
      <c r="B92" s="520" t="s">
        <v>462</v>
      </c>
      <c r="C92" s="517" t="str">
        <f>IF(NeoBerIV!B23&gt;1,INDEX(tbl_Neo_MedIV,NeoBerIV!B23, 1)&amp;" "&amp;NeoGuiAfspraken!C35&amp;" "&amp;NeoGuiAfspraken!D35&amp;" "&amp; INDEX(tbl_Neo_Opl,NeoBerIV!E23,1)&amp;" " &amp; NeoGuiAfspraken!G35&amp;" (="&amp;NeoGuiAfspraken!H35&amp;" "&amp;NeoGuiAfspraken!I35&amp;"), inlooptijd: "&amp;NeoGuiAfspraken!N35,"")</f>
        <v/>
      </c>
    </row>
    <row r="93" spans="1:3" x14ac:dyDescent="0.35">
      <c r="A93" s="518" t="s">
        <v>1163</v>
      </c>
      <c r="B93" s="520" t="s">
        <v>463</v>
      </c>
      <c r="C93" s="517" t="str">
        <f>IF(NeoBerIV!B24&gt;1,INDEX(tbl_Neo_MedIV,NeoBerIV!B24, 1)&amp;" "&amp;NeoGuiAfspraken!C36&amp;" "&amp;NeoGuiAfspraken!D36&amp;" "&amp; INDEX(tbl_Neo_Opl,NeoBerIV!E24,1)&amp;" " &amp; NeoGuiAfspraken!G36&amp;" (="&amp;NeoGuiAfspraken!H36&amp;" "&amp;NeoGuiAfspraken!I36&amp;"), inlooptijd: "&amp;NeoGuiAfspraken!N36,"")</f>
        <v/>
      </c>
    </row>
    <row r="94" spans="1:3" x14ac:dyDescent="0.35">
      <c r="A94" s="518" t="s">
        <v>1163</v>
      </c>
      <c r="B94" s="520" t="s">
        <v>464</v>
      </c>
      <c r="C94" s="517" t="str">
        <f>IF(NeoBerIV!B25&gt;1,INDEX(tbl_Neo_MedIV,NeoBerIV!B25, 1)&amp;" "&amp;NeoGuiAfspraken!C37&amp;" "&amp;NeoGuiAfspraken!D37&amp;" "&amp; INDEX(tbl_Neo_Opl,NeoBerIV!E25,1)&amp;" " &amp; NeoGuiAfspraken!G37&amp;" (="&amp;NeoGuiAfspraken!H37&amp;" "&amp;NeoGuiAfspraken!I37&amp;"), inlooptijd: "&amp;NeoGuiAfspraken!N37,"")</f>
        <v/>
      </c>
    </row>
    <row r="95" spans="1:3" x14ac:dyDescent="0.35">
      <c r="A95" s="518" t="s">
        <v>1163</v>
      </c>
      <c r="B95" s="520" t="s">
        <v>465</v>
      </c>
      <c r="C95" s="517" t="str">
        <f>IF(NeoBerIV!B26&gt;1,INDEX(tbl_Neo_MedIV,NeoBerIV!B26, 1)&amp;" "&amp;NeoGuiAfspraken!C38&amp;" "&amp;NeoGuiAfspraken!D38&amp;" "&amp; INDEX(tbl_Neo_Opl,NeoBerIV!E26,1)&amp;" " &amp; NeoGuiAfspraken!G38&amp;" (="&amp;NeoGuiAfspraken!H38&amp;" "&amp;NeoGuiAfspraken!I38&amp;"), inlooptijd: "&amp;NeoGuiAfspraken!N38,"")</f>
        <v/>
      </c>
    </row>
    <row r="96" spans="1:3" x14ac:dyDescent="0.35">
      <c r="A96" s="518" t="s">
        <v>1163</v>
      </c>
      <c r="B96" s="520" t="s">
        <v>466</v>
      </c>
      <c r="C96" s="517" t="str">
        <f>IF(NeoBerIV!B27&gt;1,INDEX(tbl_Neo_MedIV,NeoBerIV!B27, 1)&amp;" "&amp;NeoGuiAfspraken!C39&amp;" "&amp;NeoGuiAfspraken!D39&amp;" "&amp; INDEX(tbl_Neo_Opl,NeoBerIV!E27,1)&amp;" " &amp; NeoGuiAfspraken!G39&amp;" (="&amp;NeoGuiAfspraken!H39&amp;" "&amp;NeoGuiAfspraken!I39&amp;"), inlooptijd: "&amp;NeoGuiAfspraken!N39,"")</f>
        <v/>
      </c>
    </row>
    <row r="97" spans="1:7" x14ac:dyDescent="0.35">
      <c r="A97" s="518" t="s">
        <v>1163</v>
      </c>
      <c r="B97" s="520" t="s">
        <v>467</v>
      </c>
      <c r="C97" s="517" t="str">
        <f>IF(NeoBerIV!B28&gt;1,INDEX(tbl_Neo_MedIV,NeoBerIV!B28, 1)&amp;" "&amp;NeoGuiAfspraken!C40&amp;" "&amp;NeoGuiAfspraken!D40&amp;" "&amp; INDEX(tbl_Neo_Opl,NeoBerIV!E28,1)&amp;" " &amp; NeoGuiAfspraken!G40&amp;" (="&amp;NeoGuiAfspraken!H40&amp;" "&amp;NeoGuiAfspraken!I40&amp;"), inlooptijd: "&amp;NeoGuiAfspraken!N40,"")</f>
        <v/>
      </c>
    </row>
    <row r="98" spans="1:7" x14ac:dyDescent="0.35">
      <c r="A98" s="518" t="s">
        <v>1163</v>
      </c>
      <c r="B98" s="520" t="s">
        <v>696</v>
      </c>
      <c r="C98" s="517" t="str">
        <f>IF(NeoBerIV!B32="","",NeoBerIV!B32)</f>
        <v/>
      </c>
    </row>
    <row r="99" spans="1:7" x14ac:dyDescent="0.35">
      <c r="A99" s="518" t="s">
        <v>1163</v>
      </c>
      <c r="B99" s="520" t="s">
        <v>697</v>
      </c>
      <c r="C99" s="517" t="str">
        <f>IF(NeoBerIV!B33="","",NeoBerIV!B33)</f>
        <v/>
      </c>
    </row>
    <row r="100" spans="1:7" x14ac:dyDescent="0.35">
      <c r="A100" s="518" t="s">
        <v>1163</v>
      </c>
      <c r="B100" s="520" t="s">
        <v>698</v>
      </c>
      <c r="C100" s="517" t="str">
        <f>IF(NeoBerIV!E29&lt;&gt;0, NeoGuiAfspraken!B42&amp;": "&amp; INDEX(tbl_Neo_Opl,NeoBerIV!$E29,1)&amp;" " &amp; NeoGuiAfspraken!G42,"")</f>
        <v/>
      </c>
    </row>
    <row r="101" spans="1:7" x14ac:dyDescent="0.35">
      <c r="A101" s="518" t="s">
        <v>1163</v>
      </c>
      <c r="B101" s="520" t="s">
        <v>794</v>
      </c>
      <c r="C101" s="517" t="str">
        <f>IF(NeoBerIV!E30&lt;&gt;0, NeoGuiAfspraken!B43&amp;": "&amp; INDEX(tbl_Neo_Opl,NeoBerIV!$E30,1)&amp;" " &amp; NeoGuiAfspraken!G43,"")</f>
        <v/>
      </c>
    </row>
    <row r="102" spans="1:7" x14ac:dyDescent="0.35">
      <c r="A102" s="518" t="s">
        <v>1163</v>
      </c>
      <c r="B102" s="520" t="s">
        <v>795</v>
      </c>
      <c r="C102" s="517" t="str">
        <f>IF(NeoBerIV!E31&lt;&gt;0, NeoGuiAfspraken!B44&amp;": "&amp; INDEX(tbl_Neo_Opl,NeoBerIV!$E31,1)&amp;" " &amp; NeoGuiAfspraken!G44,"")</f>
        <v/>
      </c>
    </row>
    <row r="103" spans="1:7" x14ac:dyDescent="0.35">
      <c r="A103" s="518" t="s">
        <v>1163</v>
      </c>
      <c r="B103" s="520" t="s">
        <v>1128</v>
      </c>
      <c r="C103" s="517" t="str">
        <f>IF(Var_Neo_WerkbriefActueelIntravasaleToegangStand&lt;&gt;"",CONCATENATE(Var_Neo_WerkbriefActueelIntravasaleToegangTekst," ",Var_Neo_WerkbriefActueelIntravasaleToegangStand, " ml/uur"),"")</f>
        <v/>
      </c>
    </row>
    <row r="104" spans="1:7" x14ac:dyDescent="0.35">
      <c r="A104" s="518" t="s">
        <v>1163</v>
      </c>
      <c r="B104" s="520" t="s">
        <v>1151</v>
      </c>
      <c r="C104" s="517" t="str">
        <f ca="1">IF(NeoBerIV!C35&lt;&gt;0,CONCATENATE(INDEX(tbl_Neo_IntralipidSmof,_Neo_InfB_IntralipidSmof)," ",ROUNDUP(NeoBerIV!C35/24,1)," ml/uur"),"")</f>
        <v/>
      </c>
    </row>
    <row r="105" spans="1:7" x14ac:dyDescent="0.35">
      <c r="A105" s="518" t="s">
        <v>1163</v>
      </c>
      <c r="B105" s="520" t="s">
        <v>1152</v>
      </c>
      <c r="C105" s="517" t="str">
        <f ca="1">IF(Var_Neo_WerkbriefActueelTPNStand&lt;&gt;"",CONCATENATE("TPN: ",Var_Neo_WerkbriefActueelTPNStand, " ml/uur"),"")</f>
        <v/>
      </c>
      <c r="D105" s="517"/>
    </row>
    <row r="106" spans="1:7" x14ac:dyDescent="0.35">
      <c r="A106" s="518" t="s">
        <v>1163</v>
      </c>
      <c r="B106" s="520" t="s">
        <v>1153</v>
      </c>
      <c r="C106" s="517" t="str">
        <f ca="1">IF(Var_Neo_WerkbriefActueelTPNStand&lt;&gt;"",CONCATENATE("TPN Totaal: ",Var_Neo_WerkbriefActueelTPNTotaalGeheel,",", Var_Neo_WerkbriefActueelTPNTotaalBreuk, " ml"),"")</f>
        <v/>
      </c>
      <c r="D106" s="517"/>
    </row>
    <row r="107" spans="1:7" s="517" customFormat="1" x14ac:dyDescent="0.35">
      <c r="A107" s="518" t="s">
        <v>1163</v>
      </c>
      <c r="B107" s="520" t="s">
        <v>1154</v>
      </c>
      <c r="C107" s="517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  <c r="E107"/>
    </row>
    <row r="108" spans="1:7" s="517" customFormat="1" x14ac:dyDescent="0.35">
      <c r="A108" s="518" t="s">
        <v>1163</v>
      </c>
      <c r="B108" s="520" t="s">
        <v>1155</v>
      </c>
      <c r="C108" s="517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  <c r="E108"/>
    </row>
    <row r="109" spans="1:7" s="517" customFormat="1" x14ac:dyDescent="0.35">
      <c r="A109" s="518" t="s">
        <v>1163</v>
      </c>
      <c r="B109" s="520" t="s">
        <v>1156</v>
      </c>
      <c r="C109" s="517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  <c r="E109"/>
      <c r="F109"/>
      <c r="G109"/>
    </row>
    <row r="110" spans="1:7" s="517" customFormat="1" x14ac:dyDescent="0.35">
      <c r="A110" s="518" t="s">
        <v>1163</v>
      </c>
      <c r="B110" s="520" t="s">
        <v>1157</v>
      </c>
      <c r="C110" s="517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  <c r="E110"/>
    </row>
    <row r="111" spans="1:7" s="517" customFormat="1" x14ac:dyDescent="0.35">
      <c r="A111" s="518" t="s">
        <v>1163</v>
      </c>
      <c r="B111" s="520" t="s">
        <v>1158</v>
      </c>
      <c r="C111" s="517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  <c r="E111"/>
    </row>
    <row r="112" spans="1:7" s="517" customFormat="1" x14ac:dyDescent="0.35">
      <c r="A112" s="518" t="s">
        <v>1163</v>
      </c>
      <c r="B112" s="520" t="s">
        <v>1159</v>
      </c>
      <c r="C112" s="517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  <c r="E112"/>
    </row>
    <row r="113" spans="1:7" x14ac:dyDescent="0.35">
      <c r="A113" s="518" t="s">
        <v>1163</v>
      </c>
      <c r="B113" s="520" t="s">
        <v>1160</v>
      </c>
      <c r="C113" s="517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  <c r="D113" s="517"/>
      <c r="F113" s="517"/>
      <c r="G113" s="517"/>
    </row>
    <row r="114" spans="1:7" x14ac:dyDescent="0.35">
      <c r="A114" s="518" t="s">
        <v>1163</v>
      </c>
      <c r="B114" s="520" t="s">
        <v>1161</v>
      </c>
      <c r="C114" s="517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  <c r="D114" s="517"/>
      <c r="F114" s="517"/>
      <c r="G114" s="517"/>
    </row>
    <row r="115" spans="1:7" x14ac:dyDescent="0.35">
      <c r="A115" s="518" t="s">
        <v>1163</v>
      </c>
      <c r="B115" s="520" t="s">
        <v>1162</v>
      </c>
      <c r="C115" s="517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  <c r="D115" s="517"/>
      <c r="F115" s="517"/>
      <c r="G115" s="517"/>
    </row>
    <row r="116" spans="1:7" s="517" customFormat="1" x14ac:dyDescent="0.35">
      <c r="A116" s="518" t="s">
        <v>1164</v>
      </c>
      <c r="B116" s="520" t="s">
        <v>459</v>
      </c>
      <c r="C116" s="517" t="str">
        <f>IF(Var_Neo_Voeding2&lt;&gt;"",Var_Neo_Voeding2,"")</f>
        <v>Voeding: MM of Nenatal 1</v>
      </c>
      <c r="D116"/>
      <c r="E116"/>
    </row>
    <row r="117" spans="1:7" s="517" customFormat="1" x14ac:dyDescent="0.35">
      <c r="A117" s="518" t="s">
        <v>1164</v>
      </c>
      <c r="B117" s="520" t="s">
        <v>460</v>
      </c>
      <c r="C117" s="517" t="str">
        <f>IF(Var_Neo_Voeding3&lt;&gt;"",Var_Neo_Voeding3,"")</f>
        <v>Hoeveelheid 1:  0 maal 0 ml</v>
      </c>
      <c r="D117"/>
      <c r="E117"/>
    </row>
    <row r="118" spans="1:7" x14ac:dyDescent="0.35">
      <c r="A118" s="518" t="s">
        <v>1164</v>
      </c>
      <c r="B118" s="520" t="s">
        <v>461</v>
      </c>
      <c r="C118" s="517" t="str">
        <f>IF(Var_Neo_Voeding4&lt;&gt;"",Var_Neo_Voeding4,"")</f>
        <v>Hoeveelheid 2:  0 maal 0 ml</v>
      </c>
    </row>
    <row r="119" spans="1:7" x14ac:dyDescent="0.35">
      <c r="A119" s="518" t="s">
        <v>1164</v>
      </c>
      <c r="B119" s="520" t="s">
        <v>462</v>
      </c>
      <c r="C119" s="517" t="str">
        <f>IF(Var_Neo_Voeding5&lt;&gt;"",Var_Neo_Voeding5,"")</f>
        <v>Toev MM: BMF 4,4 %</v>
      </c>
    </row>
    <row r="120" spans="1:7" s="517" customFormat="1" x14ac:dyDescent="0.35">
      <c r="A120" s="518" t="s">
        <v>1164</v>
      </c>
      <c r="B120" s="520" t="s">
        <v>463</v>
      </c>
      <c r="C120" s="517" t="str">
        <f>IF(Var_Neo_Voeding6&lt;&gt;"",Var_Neo_Voeding6,"")</f>
        <v>Toev MM: Fantomalt 2 %</v>
      </c>
    </row>
    <row r="121" spans="1:7" x14ac:dyDescent="0.35">
      <c r="A121" s="518" t="s">
        <v>1164</v>
      </c>
      <c r="B121" s="520" t="s">
        <v>464</v>
      </c>
      <c r="C121" s="517" t="str">
        <f>IF(Var_Neo_Voeding7&lt;&gt;"",Var_Neo_Voeding7,"")</f>
        <v>Toev MM: Nenatal Protein Fortifier 1,5 %</v>
      </c>
      <c r="D121" s="517"/>
      <c r="E121" s="517"/>
    </row>
    <row r="122" spans="1:7" x14ac:dyDescent="0.35">
      <c r="A122" s="518" t="s">
        <v>1164</v>
      </c>
      <c r="B122" s="520" t="s">
        <v>465</v>
      </c>
      <c r="C122" s="517" t="str">
        <f>IF(Var_Neo_Voeding8&lt;&gt;"",Var_Neo_Voeding8,"")</f>
        <v>Toev MM: Solagen/Colagen 2,5 %</v>
      </c>
      <c r="D122" s="517"/>
      <c r="E122" s="517"/>
    </row>
    <row r="123" spans="1:7" x14ac:dyDescent="0.35">
      <c r="A123" s="518" t="s">
        <v>1164</v>
      </c>
      <c r="B123" s="520" t="s">
        <v>466</v>
      </c>
      <c r="C123" s="517" t="str">
        <f>IF(Var_Neo_Voeding9&lt;&gt;"",Var_Neo_Voeding9,"")</f>
        <v>Toev MM: Fantomalt 1 %</v>
      </c>
      <c r="D123" s="517"/>
      <c r="E123" s="517"/>
    </row>
    <row r="124" spans="1:7" s="517" customFormat="1" x14ac:dyDescent="0.35">
      <c r="A124" s="518" t="s">
        <v>1164</v>
      </c>
      <c r="B124" s="520" t="s">
        <v>467</v>
      </c>
      <c r="C124" s="517" t="str">
        <f>IF(Var_Neo_Voeding10&lt;&gt;"",Var_Neo_Voeding10,"")</f>
        <v/>
      </c>
      <c r="F124"/>
      <c r="G124"/>
    </row>
    <row r="125" spans="1:7" x14ac:dyDescent="0.35">
      <c r="A125" s="518" t="s">
        <v>1164</v>
      </c>
      <c r="B125" s="520" t="s">
        <v>696</v>
      </c>
      <c r="C125" s="517" t="str">
        <f>IF(Var_Neo_Voeding11&lt;&gt;"",Var_Neo_Voeding11,"")</f>
        <v/>
      </c>
      <c r="D125" s="517"/>
      <c r="E125" s="517"/>
    </row>
    <row r="126" spans="1:7" x14ac:dyDescent="0.35">
      <c r="A126" s="518" t="s">
        <v>1164</v>
      </c>
      <c r="B126" s="520" t="s">
        <v>697</v>
      </c>
      <c r="C126" s="517" t="str">
        <f>IF(Var_Neo_Voeding12&lt;&gt;"",Var_Neo_Voeding12,"")</f>
        <v/>
      </c>
      <c r="D126" s="517"/>
      <c r="E126" s="517"/>
    </row>
    <row r="127" spans="1:7" x14ac:dyDescent="0.35">
      <c r="A127" s="518" t="s">
        <v>1164</v>
      </c>
      <c r="B127" s="520" t="s">
        <v>698</v>
      </c>
      <c r="C127" s="517" t="str">
        <f>IF(Var_Neo_Voeding13&lt;&gt;"",Var_Neo_Voeding13,"")</f>
        <v/>
      </c>
      <c r="D127" s="517"/>
      <c r="E127" s="517"/>
      <c r="F127" s="517"/>
      <c r="G127" s="517"/>
    </row>
    <row r="128" spans="1:7" x14ac:dyDescent="0.35">
      <c r="A128" s="518" t="s">
        <v>765</v>
      </c>
      <c r="B128" s="520" t="s">
        <v>459</v>
      </c>
      <c r="C128" t="str">
        <f>IF(NeoGuiAfsprExtra!C45="","",CONCATENATE(NeoGuiAfsprExtra!B45,": ",NeoGuiAfsprExtra!C45))</f>
        <v/>
      </c>
      <c r="E128" s="518"/>
    </row>
    <row r="129" spans="1:5" x14ac:dyDescent="0.35">
      <c r="A129" s="518" t="s">
        <v>765</v>
      </c>
      <c r="B129" s="520" t="s">
        <v>460</v>
      </c>
      <c r="C129" s="517" t="str">
        <f>IF(NeoGuiAfsprExtra!C46="","",CONCATENATE(NeoGuiAfsprExtra!B46,": ",NeoGuiAfsprExtra!C46))</f>
        <v/>
      </c>
      <c r="E129" s="518"/>
    </row>
    <row r="130" spans="1:5" s="517" customFormat="1" x14ac:dyDescent="0.35">
      <c r="A130" s="518" t="s">
        <v>765</v>
      </c>
      <c r="B130" s="520" t="s">
        <v>461</v>
      </c>
      <c r="C130" s="517" t="str">
        <f>IF(NeoGuiAfsprExtra!C47="","",CONCATENATE(NeoGuiAfsprExtra!B47,": ",NeoGuiAfsprExtra!C47))</f>
        <v/>
      </c>
      <c r="E130" s="518"/>
    </row>
    <row r="131" spans="1:5" s="517" customFormat="1" x14ac:dyDescent="0.35">
      <c r="A131" s="518" t="s">
        <v>765</v>
      </c>
      <c r="B131" s="520" t="s">
        <v>462</v>
      </c>
      <c r="C131" s="517" t="str">
        <f>IF(NeoGuiAfsprExtra!C48="","",CONCATENATE(NeoGuiAfsprExtra!B48,": ",NeoGuiAfsprExtra!C48))</f>
        <v/>
      </c>
      <c r="D131"/>
      <c r="E131" s="518"/>
    </row>
    <row r="132" spans="1:5" x14ac:dyDescent="0.35">
      <c r="A132" s="518" t="s">
        <v>765</v>
      </c>
      <c r="B132" s="520" t="s">
        <v>463</v>
      </c>
      <c r="C132" s="517" t="str">
        <f>IF(NeoGuiAfsprExtra!C49="","",CONCATENATE(NeoGuiAfsprExtra!B49,": ",NeoGuiAfsprExtra!C49))</f>
        <v/>
      </c>
      <c r="E132" s="518"/>
    </row>
    <row r="133" spans="1:5" x14ac:dyDescent="0.35">
      <c r="A133" s="517" t="s">
        <v>694</v>
      </c>
      <c r="B133" s="520" t="s">
        <v>459</v>
      </c>
      <c r="C133" s="517" t="str">
        <f>IF(NeoGuiAfspraken!D65&lt;&gt;"",NeoGuiAfspraken!C65&amp;": "&amp;NeoGuiAfspraken!D65,"")</f>
        <v/>
      </c>
    </row>
    <row r="134" spans="1:5" x14ac:dyDescent="0.35">
      <c r="A134" s="517" t="s">
        <v>694</v>
      </c>
      <c r="B134" s="520" t="s">
        <v>460</v>
      </c>
      <c r="C134" s="517" t="str">
        <f>IF(NeoGuiAfspraken!D66&lt;&gt;"",NeoGuiAfspraken!C66&amp;": "&amp;NeoGuiAfspraken!D66,"")</f>
        <v/>
      </c>
    </row>
    <row r="135" spans="1:5" x14ac:dyDescent="0.35">
      <c r="A135" s="517" t="s">
        <v>694</v>
      </c>
      <c r="B135" s="520" t="s">
        <v>461</v>
      </c>
      <c r="C135" s="517" t="str">
        <f>IF(NeoGuiAfspraken!D67&lt;&gt;"",NeoGuiAfspraken!C67&amp;": "&amp;NeoGuiAfspraken!D67,"")</f>
        <v/>
      </c>
    </row>
    <row r="136" spans="1:5" x14ac:dyDescent="0.35">
      <c r="A136" s="517" t="s">
        <v>694</v>
      </c>
      <c r="B136" s="520" t="s">
        <v>462</v>
      </c>
      <c r="C136" s="517" t="str">
        <f>IF(NeoGuiAfspraken!D68&lt;&gt;"",NeoGuiAfspraken!C68&amp;": "&amp;NeoGuiAfspraken!D68,"")</f>
        <v/>
      </c>
    </row>
    <row r="137" spans="1:5" x14ac:dyDescent="0.35">
      <c r="A137" s="517" t="s">
        <v>694</v>
      </c>
      <c r="B137" s="520" t="s">
        <v>463</v>
      </c>
      <c r="C137" s="517" t="str">
        <f>IF(NeoGuiAfspraken!D69&lt;&gt;"",NeoGuiAfspraken!C69&amp;": "&amp;NeoGuiAfspraken!D69,"")</f>
        <v/>
      </c>
      <c r="D137" s="517"/>
      <c r="E137" s="517"/>
    </row>
    <row r="138" spans="1:5" x14ac:dyDescent="0.35">
      <c r="A138" s="517" t="s">
        <v>694</v>
      </c>
      <c r="B138" s="520" t="s">
        <v>464</v>
      </c>
      <c r="C138" s="517" t="str">
        <f>IF(NeoGuiAfspraken!D70&lt;&gt;"",NeoGuiAfspraken!C70&amp;": "&amp;NeoGuiAfspraken!D70,"")</f>
        <v/>
      </c>
    </row>
    <row r="139" spans="1:5" x14ac:dyDescent="0.35">
      <c r="A139" s="517" t="s">
        <v>694</v>
      </c>
      <c r="B139" s="520" t="s">
        <v>465</v>
      </c>
      <c r="C139" s="517" t="str">
        <f>IF(NeoGuiAfspraken!D71&lt;&gt;"",NeoGuiAfspraken!C71&amp;" "&amp;NeoGuiAfspraken!D71,"")</f>
        <v/>
      </c>
    </row>
    <row r="140" spans="1:5" x14ac:dyDescent="0.35">
      <c r="A140" s="517" t="s">
        <v>694</v>
      </c>
      <c r="B140" s="520" t="s">
        <v>466</v>
      </c>
      <c r="C140" s="517" t="str">
        <f>IF(NeoGuiAfspraken!D72&lt;&gt;"",NeoGuiAfspraken!C72&amp;" "&amp;NeoGuiAfspraken!D72,"")</f>
        <v/>
      </c>
      <c r="D140" s="517"/>
      <c r="E140" s="517"/>
    </row>
    <row r="141" spans="1:5" x14ac:dyDescent="0.35">
      <c r="A141" s="517" t="s">
        <v>694</v>
      </c>
      <c r="B141" s="520" t="s">
        <v>467</v>
      </c>
      <c r="C141" s="517" t="str">
        <f>IF(NeoGuiAfspraken!D73&lt;&gt;"",NeoGuiAfspraken!C73&amp;" "&amp;NeoGuiAfspraken!D73,"")</f>
        <v/>
      </c>
      <c r="D141" s="517"/>
      <c r="E141" s="517"/>
    </row>
    <row r="142" spans="1:5" x14ac:dyDescent="0.35">
      <c r="A142" s="517" t="s">
        <v>695</v>
      </c>
      <c r="B142" s="520" t="s">
        <v>459</v>
      </c>
      <c r="C142" s="518" t="str">
        <f ca="1">CONCATENATE(NeoGuiAfspraken!B3,"        : ",NeoGuiAfspraken!$C$2," - ",NeoGuiAfspraken!C3,"; ",NeoGuiAfspraken!$D$2," - ",NeoGuiAfspraken!D3,"; ",NeoGuiAfspraken!$E$2," - ",NeoGuiAfspraken!E3,";")</f>
        <v>Volume        : Intraveneus - 0 ml/kg; Oraal - 0 ml/kg; Totaal - 0 ml/kg  = 0 ml;</v>
      </c>
    </row>
    <row r="143" spans="1:5" x14ac:dyDescent="0.35">
      <c r="A143" s="517" t="s">
        <v>695</v>
      </c>
      <c r="B143" s="520" t="s">
        <v>460</v>
      </c>
      <c r="C143" s="518" t="str">
        <f ca="1">CONCATENATE(NeoGuiAfspraken!B4,"            : ",NeoGuiAfspraken!C2," - ",NeoGuiAfspraken!C4,"; ",NeoGuiAfspraken!$D$2," - ",NeoGuiAfspraken!D4,"; ",NeoGuiAfspraken!$E$2," - ",NeoGuiAfspraken!E4,";")</f>
        <v>Eiwit            : Intraveneus - 0 g/kg; Oraal - 0 g/kg; Totaal - 0 g/kg;</v>
      </c>
    </row>
    <row r="144" spans="1:5" x14ac:dyDescent="0.35">
      <c r="A144" s="517" t="s">
        <v>695</v>
      </c>
      <c r="B144" s="520" t="s">
        <v>461</v>
      </c>
      <c r="C144" s="518" t="str">
        <f ca="1">CONCATENATE(NeoGuiAfspraken!B5,"              : ",NeoGuiAfspraken!$C$2," - ",NeoGuiAfspraken!C5,"; ",NeoGuiAfspraken!$D$2," - ",NeoGuiAfspraken!D5,"; ",NeoGuiAfspraken!$E$2," - ",NeoGuiAfspraken!E5,";")</f>
        <v>Vet              : Intraveneus - 0 g/kg; Oraal - 0 g/kg; Totaal - 0 g/kg;</v>
      </c>
    </row>
    <row r="145" spans="1:3" x14ac:dyDescent="0.35">
      <c r="A145" s="517" t="s">
        <v>695</v>
      </c>
      <c r="B145" s="520" t="s">
        <v>462</v>
      </c>
      <c r="C145" s="518" t="str">
        <f>CONCATENATE(NeoGuiAfspraken!B6,"       : ",NeoGuiAfspraken!$C$2," - ",NeoGuiAfspraken!C6,"; ",NeoGuiAfspraken!$D$2," - ",NeoGuiAfspraken!D6,"; ",NeoGuiAfspraken!$E$2," - ",NeoGuiAfspraken!E6,";")</f>
        <v>Glucose       : Intraveneus - 0 mg/kg/min; Oraal - 0 mg/kg/min; Totaal - 0 mg/kg/min;</v>
      </c>
    </row>
    <row r="146" spans="1:3" x14ac:dyDescent="0.35">
      <c r="A146" s="517" t="s">
        <v>695</v>
      </c>
      <c r="B146" s="520" t="s">
        <v>463</v>
      </c>
      <c r="C146" s="518" t="str">
        <f ca="1">CONCATENATE(NeoGuiAfspraken!B7,"        : ",NeoGuiAfspraken!$C$2," - ",NeoGuiAfspraken!C7,"; ",NeoGuiAfspraken!$D$2," - ",NeoGuiAfspraken!D7,"; ",NeoGuiAfspraken!$E$2," - ",NeoGuiAfspraken!E7,";")</f>
        <v>Energie        : Intraveneus - 0 kcal/kg; Oraal - 0 kcal/kg; Totaal - 0 kcal/kg;</v>
      </c>
    </row>
    <row r="147" spans="1:3" x14ac:dyDescent="0.35">
      <c r="A147" s="517" t="s">
        <v>695</v>
      </c>
      <c r="B147" s="520" t="s">
        <v>464</v>
      </c>
      <c r="C147" s="518" t="str">
        <f ca="1">CONCATENATE(NeoGuiAfspraken!B8,"            : ",NeoGuiAfspraken!$C$2," - ",NeoGuiAfspraken!C8,"; ",NeoGuiAfspraken!$D$2," - ",NeoGuiAfspraken!D8,"; ",NeoGuiAfspraken!$E$2," - ",NeoGuiAfspraken!E8,";")</f>
        <v>Vit D            : Intraveneus - 0 IE; Oraal - 0 IE; Totaal - 0 IE;</v>
      </c>
    </row>
    <row r="148" spans="1:3" x14ac:dyDescent="0.35">
      <c r="A148" s="517" t="s">
        <v>695</v>
      </c>
      <c r="B148" s="520" t="s">
        <v>465</v>
      </c>
      <c r="C148" s="518" t="str">
        <f ca="1">CONCATENATE(NeoGuiAfspraken!G3,"        : ",NeoGuiAfspraken!$H$2," - ",NeoGuiAfspraken!H3,"; ",NeoGuiAfspraken!$I$2," - ",NeoGuiAfspraken!I3,"; ",NeoGuiAfspraken!$J$2," - ",NeoGuiAfspraken!J3,";")</f>
        <v>Natrium        : Intraveneus - 0 mmol/kg; Oraal - 0 mmol/kg; Totaal - 0 mmol/kg;</v>
      </c>
    </row>
    <row r="149" spans="1:3" x14ac:dyDescent="0.35">
      <c r="A149" s="517" t="s">
        <v>695</v>
      </c>
      <c r="B149" s="520" t="s">
        <v>466</v>
      </c>
      <c r="C149" s="518" t="str">
        <f ca="1">CONCATENATE(NeoGuiAfspraken!G4,"         : ",NeoGuiAfspraken!$H$2," - ",NeoGuiAfspraken!H4,"; ",NeoGuiAfspraken!$I$2," - ",NeoGuiAfspraken!I4,"; ",NeoGuiAfspraken!$J$2," - ",NeoGuiAfspraken!J4,";")</f>
        <v>Kalium         : Intraveneus - 0 mmol/kg; Oraal - 0 mmol/kg; Totaal - 0 mmol/kg;</v>
      </c>
    </row>
    <row r="150" spans="1:3" x14ac:dyDescent="0.35">
      <c r="A150" s="517" t="s">
        <v>695</v>
      </c>
      <c r="B150" s="520" t="s">
        <v>467</v>
      </c>
      <c r="C150" s="518" t="str">
        <f ca="1">CONCATENATE(NeoGuiAfspraken!G5,"       : ",NeoGuiAfspraken!$H$2," - ",NeoGuiAfspraken!H5,"; ",NeoGuiAfspraken!$I$2," - ",NeoGuiAfspraken!I5,"; ",NeoGuiAfspraken!$J$2," - ",NeoGuiAfspraken!J5,";")</f>
        <v>Calcium       : Intraveneus - 0 mmol/kg; Oraal - 0 mmol/kg; Totaal - 0 mmol/kg;</v>
      </c>
    </row>
    <row r="151" spans="1:3" x14ac:dyDescent="0.35">
      <c r="A151" s="517" t="s">
        <v>695</v>
      </c>
      <c r="B151" s="521" t="s">
        <v>696</v>
      </c>
      <c r="C151" s="518" t="str">
        <f ca="1">CONCATENATE(NeoGuiAfspraken!G6,"  : ",NeoGuiAfspraken!$H$2," - ",NeoGuiAfspraken!H6,"; ",NeoGuiAfspraken!$I$2," - ",NeoGuiAfspraken!I6,"; ",NeoGuiAfspraken!$J$2," - ",NeoGuiAfspraken!J6,";")</f>
        <v>Magnesium  : Intraveneus - 0 mmol/kg; Oraal - 0 mmol/kg; Totaal - 0 mmol/kg;</v>
      </c>
    </row>
    <row r="152" spans="1:3" x14ac:dyDescent="0.35">
      <c r="A152" s="517" t="s">
        <v>695</v>
      </c>
      <c r="B152" s="521" t="s">
        <v>697</v>
      </c>
      <c r="C152" s="518" t="str">
        <f ca="1">CONCATENATE(NeoGuiAfspraken!G7,"          : ",NeoGuiAfspraken!$H$2," - ",NeoGuiAfspraken!H7,"; ",NeoGuiAfspraken!$I$2," - ",NeoGuiAfspraken!I7,"; ",NeoGuiAfspraken!$J$2," - ",NeoGuiAfspraken!J7,";")</f>
        <v>Chloor          : Intraveneus - 0 mmol/kg; Oraal - 0 mmol/kg; Totaal - 0 mmol/kg;</v>
      </c>
    </row>
    <row r="153" spans="1:3" x14ac:dyDescent="0.35">
      <c r="A153" s="517" t="s">
        <v>695</v>
      </c>
      <c r="B153" s="521" t="s">
        <v>698</v>
      </c>
      <c r="C153" s="518" t="str">
        <f>CONCATENATE(NeoGuiAfspraken!G8,"         : ",NeoGuiAfspraken!$H$2," - ",NeoGuiAfspraken!H8,"; ",NeoGuiAfspraken!$I$2," - ",NeoGuiAfspraken!I8,"; ",NeoGuiAfspraken!$J$2," - ",NeoGuiAfspraken!J8,";")</f>
        <v>Fosfaat         : Intraveneus - 0 mmol/kg; Oraal - 0 mmol/kg; Totaal - 0 mmol/kg;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24"/>
  <sheetViews>
    <sheetView zoomScaleNormal="100" workbookViewId="0">
      <pane xSplit="1" ySplit="1" topLeftCell="B2" activePane="bottomRight" state="frozen"/>
      <selection activeCell="C22" sqref="C22"/>
      <selection pane="topRight" activeCell="C22" sqref="C22"/>
      <selection pane="bottomLeft" activeCell="C22" sqref="C22"/>
      <selection pane="bottomRight" activeCell="A6" sqref="A6"/>
    </sheetView>
  </sheetViews>
  <sheetFormatPr defaultRowHeight="12.85" x14ac:dyDescent="0.35"/>
  <cols>
    <col min="1" max="1" width="45.86328125" bestFit="1" customWidth="1"/>
    <col min="2" max="2" width="28.59765625" customWidth="1"/>
    <col min="3" max="3" width="21.86328125" customWidth="1"/>
    <col min="6" max="6" width="18.59765625" customWidth="1"/>
  </cols>
  <sheetData>
    <row r="1" spans="1:6" x14ac:dyDescent="0.35">
      <c r="A1" s="577" t="s">
        <v>172</v>
      </c>
      <c r="B1" t="s">
        <v>173</v>
      </c>
      <c r="C1" s="518" t="s">
        <v>3602</v>
      </c>
    </row>
    <row r="2" spans="1:6" x14ac:dyDescent="0.35">
      <c r="A2" s="517" t="s">
        <v>1223</v>
      </c>
      <c r="B2" s="517"/>
    </row>
    <row r="3" spans="1:6" x14ac:dyDescent="0.35">
      <c r="A3" s="517" t="s">
        <v>1224</v>
      </c>
      <c r="B3" s="517"/>
    </row>
    <row r="4" spans="1:6" x14ac:dyDescent="0.35">
      <c r="A4" s="517" t="s">
        <v>1225</v>
      </c>
      <c r="B4" s="517"/>
    </row>
    <row r="5" spans="1:6" x14ac:dyDescent="0.35">
      <c r="A5" s="517" t="s">
        <v>1226</v>
      </c>
      <c r="B5" s="517"/>
    </row>
    <row r="6" spans="1:6" x14ac:dyDescent="0.35">
      <c r="A6" s="517" t="s">
        <v>1227</v>
      </c>
      <c r="B6" s="517">
        <v>0</v>
      </c>
      <c r="C6">
        <v>0</v>
      </c>
    </row>
    <row r="7" spans="1:6" x14ac:dyDescent="0.35">
      <c r="A7" s="517" t="s">
        <v>3606</v>
      </c>
    </row>
    <row r="8" spans="1:6" x14ac:dyDescent="0.35">
      <c r="A8" s="517" t="s">
        <v>3607</v>
      </c>
    </row>
    <row r="9" spans="1:6" x14ac:dyDescent="0.35">
      <c r="A9" s="517" t="s">
        <v>3608</v>
      </c>
    </row>
    <row r="10" spans="1:6" x14ac:dyDescent="0.35">
      <c r="A10" s="517" t="s">
        <v>3609</v>
      </c>
    </row>
    <row r="11" spans="1:6" x14ac:dyDescent="0.35">
      <c r="A11" s="517" t="s">
        <v>3610</v>
      </c>
    </row>
    <row r="12" spans="1:6" x14ac:dyDescent="0.35">
      <c r="A12" s="517" t="s">
        <v>3611</v>
      </c>
    </row>
    <row r="13" spans="1:6" x14ac:dyDescent="0.35">
      <c r="A13" s="517" t="s">
        <v>3612</v>
      </c>
      <c r="F13" s="517"/>
    </row>
    <row r="14" spans="1:6" x14ac:dyDescent="0.35">
      <c r="A14" s="517" t="s">
        <v>3613</v>
      </c>
    </row>
    <row r="15" spans="1:6" x14ac:dyDescent="0.35">
      <c r="A15" s="517" t="s">
        <v>3614</v>
      </c>
    </row>
    <row r="16" spans="1:6" x14ac:dyDescent="0.35">
      <c r="A16" s="517" t="s">
        <v>3615</v>
      </c>
    </row>
    <row r="17" spans="1:1" x14ac:dyDescent="0.35">
      <c r="A17" s="517" t="s">
        <v>3616</v>
      </c>
    </row>
    <row r="18" spans="1:1" x14ac:dyDescent="0.35">
      <c r="A18" s="517" t="s">
        <v>3617</v>
      </c>
    </row>
    <row r="19" spans="1:1" x14ac:dyDescent="0.35">
      <c r="A19" s="517" t="s">
        <v>3618</v>
      </c>
    </row>
    <row r="20" spans="1:1" x14ac:dyDescent="0.35">
      <c r="A20" s="517" t="s">
        <v>3619</v>
      </c>
    </row>
    <row r="21" spans="1:1" x14ac:dyDescent="0.35">
      <c r="A21" s="517" t="s">
        <v>3620</v>
      </c>
    </row>
    <row r="22" spans="1:1" x14ac:dyDescent="0.35">
      <c r="A22" s="517" t="s">
        <v>3621</v>
      </c>
    </row>
    <row r="23" spans="1:1" x14ac:dyDescent="0.35">
      <c r="A23" s="517" t="s">
        <v>3622</v>
      </c>
    </row>
    <row r="24" spans="1:1" x14ac:dyDescent="0.35">
      <c r="A24" s="517" t="s">
        <v>3623</v>
      </c>
    </row>
    <row r="25" spans="1:1" x14ac:dyDescent="0.35">
      <c r="A25" s="517" t="s">
        <v>3624</v>
      </c>
    </row>
    <row r="26" spans="1:1" x14ac:dyDescent="0.35">
      <c r="A26" s="517" t="s">
        <v>3625</v>
      </c>
    </row>
    <row r="27" spans="1:1" x14ac:dyDescent="0.35">
      <c r="A27" s="517" t="s">
        <v>3626</v>
      </c>
    </row>
    <row r="28" spans="1:1" x14ac:dyDescent="0.35">
      <c r="A28" s="517" t="s">
        <v>3627</v>
      </c>
    </row>
    <row r="29" spans="1:1" x14ac:dyDescent="0.35">
      <c r="A29" s="517" t="s">
        <v>3628</v>
      </c>
    </row>
    <row r="30" spans="1:1" x14ac:dyDescent="0.35">
      <c r="A30" s="517" t="s">
        <v>3629</v>
      </c>
    </row>
    <row r="31" spans="1:1" x14ac:dyDescent="0.35">
      <c r="A31" s="517" t="s">
        <v>3630</v>
      </c>
    </row>
    <row r="32" spans="1:1" x14ac:dyDescent="0.35">
      <c r="A32" s="517" t="s">
        <v>3631</v>
      </c>
    </row>
    <row r="33" spans="1:6" x14ac:dyDescent="0.35">
      <c r="A33" s="517" t="s">
        <v>3632</v>
      </c>
    </row>
    <row r="34" spans="1:6" x14ac:dyDescent="0.35">
      <c r="A34" s="517" t="s">
        <v>3633</v>
      </c>
    </row>
    <row r="35" spans="1:6" x14ac:dyDescent="0.35">
      <c r="A35" s="517" t="s">
        <v>3634</v>
      </c>
    </row>
    <row r="36" spans="1:6" x14ac:dyDescent="0.35">
      <c r="A36" s="517" t="s">
        <v>3635</v>
      </c>
    </row>
    <row r="37" spans="1:6" x14ac:dyDescent="0.35">
      <c r="A37" s="517" t="s">
        <v>3636</v>
      </c>
    </row>
    <row r="38" spans="1:6" x14ac:dyDescent="0.35">
      <c r="A38" s="517" t="s">
        <v>3637</v>
      </c>
    </row>
    <row r="39" spans="1:6" x14ac:dyDescent="0.35">
      <c r="A39" s="517" t="s">
        <v>3638</v>
      </c>
    </row>
    <row r="40" spans="1:6" x14ac:dyDescent="0.35">
      <c r="A40" s="517" t="s">
        <v>3639</v>
      </c>
      <c r="F40" s="517"/>
    </row>
    <row r="41" spans="1:6" x14ac:dyDescent="0.35">
      <c r="A41" s="517" t="s">
        <v>3640</v>
      </c>
    </row>
    <row r="42" spans="1:6" x14ac:dyDescent="0.35">
      <c r="A42" s="517" t="s">
        <v>3641</v>
      </c>
    </row>
    <row r="43" spans="1:6" x14ac:dyDescent="0.35">
      <c r="A43" s="517" t="s">
        <v>3642</v>
      </c>
    </row>
    <row r="44" spans="1:6" x14ac:dyDescent="0.35">
      <c r="A44" s="517" t="s">
        <v>3643</v>
      </c>
    </row>
    <row r="45" spans="1:6" x14ac:dyDescent="0.35">
      <c r="A45" s="517" t="s">
        <v>3644</v>
      </c>
    </row>
    <row r="46" spans="1:6" x14ac:dyDescent="0.35">
      <c r="A46" s="517" t="s">
        <v>3645</v>
      </c>
    </row>
    <row r="47" spans="1:6" x14ac:dyDescent="0.35">
      <c r="A47" s="517" t="s">
        <v>3646</v>
      </c>
    </row>
    <row r="48" spans="1:6" x14ac:dyDescent="0.35">
      <c r="A48" s="517" t="s">
        <v>3647</v>
      </c>
    </row>
    <row r="49" spans="1:1" x14ac:dyDescent="0.35">
      <c r="A49" s="517" t="s">
        <v>3648</v>
      </c>
    </row>
    <row r="50" spans="1:1" x14ac:dyDescent="0.35">
      <c r="A50" s="517" t="s">
        <v>3649</v>
      </c>
    </row>
    <row r="51" spans="1:1" x14ac:dyDescent="0.35">
      <c r="A51" s="517" t="s">
        <v>3650</v>
      </c>
    </row>
    <row r="52" spans="1:1" x14ac:dyDescent="0.35">
      <c r="A52" s="517" t="s">
        <v>3651</v>
      </c>
    </row>
    <row r="53" spans="1:1" x14ac:dyDescent="0.35">
      <c r="A53" s="517" t="s">
        <v>3652</v>
      </c>
    </row>
    <row r="54" spans="1:1" x14ac:dyDescent="0.35">
      <c r="A54" s="517" t="s">
        <v>3653</v>
      </c>
    </row>
    <row r="55" spans="1:1" x14ac:dyDescent="0.35">
      <c r="A55" s="517" t="s">
        <v>3654</v>
      </c>
    </row>
    <row r="56" spans="1:1" x14ac:dyDescent="0.35">
      <c r="A56" s="517" t="s">
        <v>3655</v>
      </c>
    </row>
    <row r="57" spans="1:1" x14ac:dyDescent="0.35">
      <c r="A57" s="517" t="s">
        <v>3656</v>
      </c>
    </row>
    <row r="58" spans="1:1" x14ac:dyDescent="0.35">
      <c r="A58" s="517" t="s">
        <v>3657</v>
      </c>
    </row>
    <row r="59" spans="1:1" x14ac:dyDescent="0.35">
      <c r="A59" s="517" t="s">
        <v>3658</v>
      </c>
    </row>
    <row r="60" spans="1:1" x14ac:dyDescent="0.35">
      <c r="A60" s="517" t="s">
        <v>3659</v>
      </c>
    </row>
    <row r="61" spans="1:1" x14ac:dyDescent="0.35">
      <c r="A61" s="517" t="s">
        <v>3660</v>
      </c>
    </row>
    <row r="62" spans="1:1" x14ac:dyDescent="0.35">
      <c r="A62" s="517" t="s">
        <v>3661</v>
      </c>
    </row>
    <row r="63" spans="1:1" x14ac:dyDescent="0.35">
      <c r="A63" s="517" t="s">
        <v>3662</v>
      </c>
    </row>
    <row r="64" spans="1:1" x14ac:dyDescent="0.35">
      <c r="A64" s="517" t="s">
        <v>3663</v>
      </c>
    </row>
    <row r="65" spans="1:2" x14ac:dyDescent="0.35">
      <c r="A65" s="517" t="s">
        <v>3664</v>
      </c>
    </row>
    <row r="66" spans="1:2" x14ac:dyDescent="0.35">
      <c r="A66" s="517" t="s">
        <v>3665</v>
      </c>
    </row>
    <row r="67" spans="1:2" x14ac:dyDescent="0.35">
      <c r="A67" s="517" t="s">
        <v>3666</v>
      </c>
    </row>
    <row r="68" spans="1:2" x14ac:dyDescent="0.35">
      <c r="A68" s="517" t="s">
        <v>3667</v>
      </c>
    </row>
    <row r="69" spans="1:2" x14ac:dyDescent="0.35">
      <c r="A69" s="517" t="s">
        <v>3668</v>
      </c>
    </row>
    <row r="70" spans="1:2" x14ac:dyDescent="0.35">
      <c r="A70" s="517" t="s">
        <v>3669</v>
      </c>
    </row>
    <row r="71" spans="1:2" x14ac:dyDescent="0.35">
      <c r="A71" s="517" t="s">
        <v>3670</v>
      </c>
      <c r="B71" s="517"/>
    </row>
    <row r="72" spans="1:2" x14ac:dyDescent="0.35">
      <c r="A72" s="517" t="s">
        <v>3671</v>
      </c>
      <c r="B72" s="517"/>
    </row>
    <row r="73" spans="1:2" x14ac:dyDescent="0.35">
      <c r="A73" s="517" t="s">
        <v>3672</v>
      </c>
      <c r="B73" s="517"/>
    </row>
    <row r="74" spans="1:2" x14ac:dyDescent="0.35">
      <c r="A74" s="517" t="s">
        <v>3673</v>
      </c>
      <c r="B74" s="517"/>
    </row>
    <row r="75" spans="1:2" x14ac:dyDescent="0.35">
      <c r="A75" s="517" t="s">
        <v>3674</v>
      </c>
      <c r="B75" s="517"/>
    </row>
    <row r="76" spans="1:2" x14ac:dyDescent="0.35">
      <c r="A76" s="517" t="s">
        <v>3675</v>
      </c>
      <c r="B76" s="517"/>
    </row>
    <row r="77" spans="1:2" x14ac:dyDescent="0.35">
      <c r="A77" s="517" t="s">
        <v>3676</v>
      </c>
      <c r="B77" s="517"/>
    </row>
    <row r="78" spans="1:2" x14ac:dyDescent="0.35">
      <c r="A78" s="517" t="s">
        <v>3677</v>
      </c>
      <c r="B78" s="517"/>
    </row>
    <row r="79" spans="1:2" x14ac:dyDescent="0.35">
      <c r="A79" s="517" t="s">
        <v>3678</v>
      </c>
    </row>
    <row r="80" spans="1:2" x14ac:dyDescent="0.35">
      <c r="A80" s="517" t="s">
        <v>3679</v>
      </c>
    </row>
    <row r="81" spans="1:1" x14ac:dyDescent="0.35">
      <c r="A81" s="517" t="s">
        <v>3680</v>
      </c>
    </row>
    <row r="82" spans="1:1" x14ac:dyDescent="0.35">
      <c r="A82" s="517" t="s">
        <v>3681</v>
      </c>
    </row>
    <row r="83" spans="1:1" x14ac:dyDescent="0.35">
      <c r="A83" s="517" t="s">
        <v>3682</v>
      </c>
    </row>
    <row r="84" spans="1:1" x14ac:dyDescent="0.35">
      <c r="A84" s="517" t="s">
        <v>3683</v>
      </c>
    </row>
    <row r="85" spans="1:1" x14ac:dyDescent="0.35">
      <c r="A85" s="517" t="s">
        <v>3684</v>
      </c>
    </row>
    <row r="86" spans="1:1" x14ac:dyDescent="0.35">
      <c r="A86" s="517" t="s">
        <v>3685</v>
      </c>
    </row>
    <row r="87" spans="1:1" x14ac:dyDescent="0.35">
      <c r="A87" s="517" t="s">
        <v>3686</v>
      </c>
    </row>
    <row r="88" spans="1:1" x14ac:dyDescent="0.35">
      <c r="A88" s="517" t="s">
        <v>3687</v>
      </c>
    </row>
    <row r="89" spans="1:1" x14ac:dyDescent="0.35">
      <c r="A89" s="517" t="s">
        <v>3688</v>
      </c>
    </row>
    <row r="90" spans="1:1" x14ac:dyDescent="0.35">
      <c r="A90" s="517" t="s">
        <v>3689</v>
      </c>
    </row>
    <row r="91" spans="1:1" x14ac:dyDescent="0.35">
      <c r="A91" s="517" t="s">
        <v>3690</v>
      </c>
    </row>
    <row r="92" spans="1:1" x14ac:dyDescent="0.35">
      <c r="A92" s="517" t="s">
        <v>3691</v>
      </c>
    </row>
    <row r="93" spans="1:1" x14ac:dyDescent="0.35">
      <c r="A93" s="517" t="s">
        <v>3692</v>
      </c>
    </row>
    <row r="94" spans="1:1" x14ac:dyDescent="0.35">
      <c r="A94" s="517" t="s">
        <v>3693</v>
      </c>
    </row>
    <row r="95" spans="1:1" x14ac:dyDescent="0.35">
      <c r="A95" s="517" t="s">
        <v>3694</v>
      </c>
    </row>
    <row r="96" spans="1:1" x14ac:dyDescent="0.35">
      <c r="A96" s="517" t="s">
        <v>3695</v>
      </c>
    </row>
    <row r="97" spans="1:1" x14ac:dyDescent="0.35">
      <c r="A97" s="517" t="s">
        <v>3696</v>
      </c>
    </row>
    <row r="98" spans="1:1" x14ac:dyDescent="0.35">
      <c r="A98" s="517" t="s">
        <v>3697</v>
      </c>
    </row>
    <row r="99" spans="1:1" x14ac:dyDescent="0.35">
      <c r="A99" s="517" t="s">
        <v>3698</v>
      </c>
    </row>
    <row r="100" spans="1:1" x14ac:dyDescent="0.35">
      <c r="A100" s="517" t="s">
        <v>3699</v>
      </c>
    </row>
    <row r="101" spans="1:1" x14ac:dyDescent="0.35">
      <c r="A101" s="517" t="s">
        <v>3700</v>
      </c>
    </row>
    <row r="102" spans="1:1" x14ac:dyDescent="0.35">
      <c r="A102" s="517" t="s">
        <v>3701</v>
      </c>
    </row>
    <row r="103" spans="1:1" x14ac:dyDescent="0.35">
      <c r="A103" s="517" t="s">
        <v>3702</v>
      </c>
    </row>
    <row r="104" spans="1:1" x14ac:dyDescent="0.35">
      <c r="A104" s="517" t="s">
        <v>3703</v>
      </c>
    </row>
    <row r="105" spans="1:1" x14ac:dyDescent="0.35">
      <c r="A105" s="517" t="s">
        <v>3704</v>
      </c>
    </row>
    <row r="106" spans="1:1" x14ac:dyDescent="0.35">
      <c r="A106" s="517" t="s">
        <v>3705</v>
      </c>
    </row>
    <row r="107" spans="1:1" x14ac:dyDescent="0.35">
      <c r="A107" s="517" t="s">
        <v>3706</v>
      </c>
    </row>
    <row r="108" spans="1:1" x14ac:dyDescent="0.35">
      <c r="A108" s="517" t="s">
        <v>3707</v>
      </c>
    </row>
    <row r="109" spans="1:1" x14ac:dyDescent="0.35">
      <c r="A109" s="517" t="s">
        <v>3708</v>
      </c>
    </row>
    <row r="110" spans="1:1" x14ac:dyDescent="0.35">
      <c r="A110" s="517" t="s">
        <v>3709</v>
      </c>
    </row>
    <row r="111" spans="1:1" x14ac:dyDescent="0.35">
      <c r="A111" s="517" t="s">
        <v>3710</v>
      </c>
    </row>
    <row r="112" spans="1:1" x14ac:dyDescent="0.35">
      <c r="A112" s="517" t="s">
        <v>3711</v>
      </c>
    </row>
    <row r="113" spans="1:1" x14ac:dyDescent="0.35">
      <c r="A113" s="517" t="s">
        <v>3712</v>
      </c>
    </row>
    <row r="114" spans="1:1" x14ac:dyDescent="0.35">
      <c r="A114" s="517" t="s">
        <v>3713</v>
      </c>
    </row>
    <row r="115" spans="1:1" x14ac:dyDescent="0.35">
      <c r="A115" s="517" t="s">
        <v>3714</v>
      </c>
    </row>
    <row r="116" spans="1:1" x14ac:dyDescent="0.35">
      <c r="A116" s="517" t="s">
        <v>3715</v>
      </c>
    </row>
    <row r="117" spans="1:1" x14ac:dyDescent="0.35">
      <c r="A117" s="517" t="s">
        <v>3716</v>
      </c>
    </row>
    <row r="118" spans="1:1" x14ac:dyDescent="0.35">
      <c r="A118" s="517" t="s">
        <v>3717</v>
      </c>
    </row>
    <row r="119" spans="1:1" x14ac:dyDescent="0.35">
      <c r="A119" s="517" t="s">
        <v>3718</v>
      </c>
    </row>
    <row r="120" spans="1:1" x14ac:dyDescent="0.35">
      <c r="A120" s="517" t="s">
        <v>3719</v>
      </c>
    </row>
    <row r="121" spans="1:1" x14ac:dyDescent="0.35">
      <c r="A121" s="517" t="s">
        <v>3720</v>
      </c>
    </row>
    <row r="122" spans="1:1" x14ac:dyDescent="0.35">
      <c r="A122" s="517" t="s">
        <v>3721</v>
      </c>
    </row>
    <row r="123" spans="1:1" x14ac:dyDescent="0.35">
      <c r="A123" s="517" t="s">
        <v>3722</v>
      </c>
    </row>
    <row r="124" spans="1:1" x14ac:dyDescent="0.35">
      <c r="A124" s="517" t="s">
        <v>3723</v>
      </c>
    </row>
    <row r="125" spans="1:1" x14ac:dyDescent="0.35">
      <c r="A125" s="517" t="s">
        <v>3724</v>
      </c>
    </row>
    <row r="126" spans="1:1" x14ac:dyDescent="0.35">
      <c r="A126" s="517" t="s">
        <v>3725</v>
      </c>
    </row>
    <row r="127" spans="1:1" x14ac:dyDescent="0.35">
      <c r="A127" s="517" t="s">
        <v>3726</v>
      </c>
    </row>
    <row r="128" spans="1:1" x14ac:dyDescent="0.35">
      <c r="A128" s="517" t="s">
        <v>3727</v>
      </c>
    </row>
    <row r="129" spans="1:1" x14ac:dyDescent="0.35">
      <c r="A129" s="517" t="s">
        <v>3728</v>
      </c>
    </row>
    <row r="130" spans="1:1" x14ac:dyDescent="0.35">
      <c r="A130" s="517" t="s">
        <v>3729</v>
      </c>
    </row>
    <row r="131" spans="1:1" x14ac:dyDescent="0.35">
      <c r="A131" s="517" t="s">
        <v>3730</v>
      </c>
    </row>
    <row r="132" spans="1:1" x14ac:dyDescent="0.35">
      <c r="A132" s="517" t="s">
        <v>3731</v>
      </c>
    </row>
    <row r="133" spans="1:1" x14ac:dyDescent="0.35">
      <c r="A133" s="517" t="s">
        <v>3732</v>
      </c>
    </row>
    <row r="134" spans="1:1" x14ac:dyDescent="0.35">
      <c r="A134" s="517" t="s">
        <v>3733</v>
      </c>
    </row>
    <row r="135" spans="1:1" x14ac:dyDescent="0.35">
      <c r="A135" s="517" t="s">
        <v>3734</v>
      </c>
    </row>
    <row r="136" spans="1:1" x14ac:dyDescent="0.35">
      <c r="A136" s="517" t="s">
        <v>3735</v>
      </c>
    </row>
    <row r="137" spans="1:1" x14ac:dyDescent="0.35">
      <c r="A137" s="517" t="s">
        <v>3736</v>
      </c>
    </row>
    <row r="138" spans="1:1" x14ac:dyDescent="0.35">
      <c r="A138" s="517" t="s">
        <v>3737</v>
      </c>
    </row>
    <row r="139" spans="1:1" x14ac:dyDescent="0.35">
      <c r="A139" s="517" t="s">
        <v>3738</v>
      </c>
    </row>
    <row r="140" spans="1:1" x14ac:dyDescent="0.35">
      <c r="A140" s="517" t="s">
        <v>3739</v>
      </c>
    </row>
    <row r="141" spans="1:1" x14ac:dyDescent="0.35">
      <c r="A141" s="517" t="s">
        <v>3740</v>
      </c>
    </row>
    <row r="142" spans="1:1" x14ac:dyDescent="0.35">
      <c r="A142" s="517" t="s">
        <v>3741</v>
      </c>
    </row>
    <row r="143" spans="1:1" x14ac:dyDescent="0.35">
      <c r="A143" s="517" t="s">
        <v>3742</v>
      </c>
    </row>
    <row r="144" spans="1:1" x14ac:dyDescent="0.35">
      <c r="A144" s="517" t="s">
        <v>3743</v>
      </c>
    </row>
    <row r="145" spans="1:1" x14ac:dyDescent="0.35">
      <c r="A145" s="517" t="s">
        <v>3744</v>
      </c>
    </row>
    <row r="146" spans="1:1" x14ac:dyDescent="0.35">
      <c r="A146" s="517" t="s">
        <v>3745</v>
      </c>
    </row>
    <row r="147" spans="1:1" x14ac:dyDescent="0.35">
      <c r="A147" s="517" t="s">
        <v>3746</v>
      </c>
    </row>
    <row r="148" spans="1:1" x14ac:dyDescent="0.35">
      <c r="A148" s="517" t="s">
        <v>3747</v>
      </c>
    </row>
    <row r="149" spans="1:1" x14ac:dyDescent="0.35">
      <c r="A149" s="517" t="s">
        <v>3748</v>
      </c>
    </row>
    <row r="150" spans="1:1" x14ac:dyDescent="0.35">
      <c r="A150" s="517" t="s">
        <v>3749</v>
      </c>
    </row>
    <row r="151" spans="1:1" x14ac:dyDescent="0.35">
      <c r="A151" s="517" t="s">
        <v>3750</v>
      </c>
    </row>
    <row r="152" spans="1:1" x14ac:dyDescent="0.35">
      <c r="A152" s="517" t="s">
        <v>3751</v>
      </c>
    </row>
    <row r="153" spans="1:1" x14ac:dyDescent="0.35">
      <c r="A153" s="517" t="s">
        <v>3752</v>
      </c>
    </row>
    <row r="154" spans="1:1" x14ac:dyDescent="0.35">
      <c r="A154" s="517" t="s">
        <v>3753</v>
      </c>
    </row>
    <row r="155" spans="1:1" x14ac:dyDescent="0.35">
      <c r="A155" s="517" t="s">
        <v>3754</v>
      </c>
    </row>
    <row r="156" spans="1:1" x14ac:dyDescent="0.35">
      <c r="A156" s="517" t="s">
        <v>3755</v>
      </c>
    </row>
    <row r="157" spans="1:1" x14ac:dyDescent="0.35">
      <c r="A157" s="517" t="s">
        <v>3756</v>
      </c>
    </row>
    <row r="158" spans="1:1" x14ac:dyDescent="0.35">
      <c r="A158" s="517" t="s">
        <v>3757</v>
      </c>
    </row>
    <row r="159" spans="1:1" x14ac:dyDescent="0.35">
      <c r="A159" s="517" t="s">
        <v>3758</v>
      </c>
    </row>
    <row r="160" spans="1:1" x14ac:dyDescent="0.35">
      <c r="A160" s="517" t="s">
        <v>3759</v>
      </c>
    </row>
    <row r="161" spans="1:1" x14ac:dyDescent="0.35">
      <c r="A161" s="517" t="s">
        <v>3760</v>
      </c>
    </row>
    <row r="162" spans="1:1" x14ac:dyDescent="0.35">
      <c r="A162" s="517" t="s">
        <v>3761</v>
      </c>
    </row>
    <row r="163" spans="1:1" x14ac:dyDescent="0.35">
      <c r="A163" s="517" t="s">
        <v>3762</v>
      </c>
    </row>
    <row r="164" spans="1:1" x14ac:dyDescent="0.35">
      <c r="A164" s="517" t="s">
        <v>3763</v>
      </c>
    </row>
    <row r="165" spans="1:1" x14ac:dyDescent="0.35">
      <c r="A165" s="517" t="s">
        <v>3764</v>
      </c>
    </row>
    <row r="166" spans="1:1" x14ac:dyDescent="0.35">
      <c r="A166" s="517" t="s">
        <v>3765</v>
      </c>
    </row>
    <row r="167" spans="1:1" x14ac:dyDescent="0.35">
      <c r="A167" s="517" t="s">
        <v>3766</v>
      </c>
    </row>
    <row r="168" spans="1:1" x14ac:dyDescent="0.35">
      <c r="A168" s="517" t="s">
        <v>3767</v>
      </c>
    </row>
    <row r="169" spans="1:1" x14ac:dyDescent="0.35">
      <c r="A169" s="517" t="s">
        <v>3768</v>
      </c>
    </row>
    <row r="170" spans="1:1" x14ac:dyDescent="0.35">
      <c r="A170" s="517" t="s">
        <v>3769</v>
      </c>
    </row>
    <row r="171" spans="1:1" x14ac:dyDescent="0.35">
      <c r="A171" s="517" t="s">
        <v>3770</v>
      </c>
    </row>
    <row r="172" spans="1:1" x14ac:dyDescent="0.35">
      <c r="A172" s="517" t="s">
        <v>3771</v>
      </c>
    </row>
    <row r="173" spans="1:1" x14ac:dyDescent="0.35">
      <c r="A173" s="517" t="s">
        <v>3772</v>
      </c>
    </row>
    <row r="174" spans="1:1" x14ac:dyDescent="0.35">
      <c r="A174" s="517" t="s">
        <v>3773</v>
      </c>
    </row>
    <row r="175" spans="1:1" x14ac:dyDescent="0.35">
      <c r="A175" s="517" t="s">
        <v>3774</v>
      </c>
    </row>
    <row r="176" spans="1:1" x14ac:dyDescent="0.35">
      <c r="A176" s="517" t="s">
        <v>3775</v>
      </c>
    </row>
    <row r="177" spans="1:1" x14ac:dyDescent="0.35">
      <c r="A177" s="517" t="s">
        <v>3776</v>
      </c>
    </row>
    <row r="178" spans="1:1" x14ac:dyDescent="0.35">
      <c r="A178" s="517" t="s">
        <v>3777</v>
      </c>
    </row>
    <row r="179" spans="1:1" x14ac:dyDescent="0.35">
      <c r="A179" s="517" t="s">
        <v>3778</v>
      </c>
    </row>
    <row r="180" spans="1:1" x14ac:dyDescent="0.35">
      <c r="A180" s="517" t="s">
        <v>3779</v>
      </c>
    </row>
    <row r="181" spans="1:1" x14ac:dyDescent="0.35">
      <c r="A181" s="517" t="s">
        <v>3780</v>
      </c>
    </row>
    <row r="182" spans="1:1" x14ac:dyDescent="0.35">
      <c r="A182" s="517" t="s">
        <v>3781</v>
      </c>
    </row>
    <row r="183" spans="1:1" x14ac:dyDescent="0.35">
      <c r="A183" s="517" t="s">
        <v>3782</v>
      </c>
    </row>
    <row r="184" spans="1:1" x14ac:dyDescent="0.35">
      <c r="A184" s="517" t="s">
        <v>3783</v>
      </c>
    </row>
    <row r="185" spans="1:1" x14ac:dyDescent="0.35">
      <c r="A185" s="517" t="s">
        <v>3784</v>
      </c>
    </row>
    <row r="186" spans="1:1" x14ac:dyDescent="0.35">
      <c r="A186" s="517" t="s">
        <v>3785</v>
      </c>
    </row>
    <row r="187" spans="1:1" x14ac:dyDescent="0.35">
      <c r="A187" s="517" t="s">
        <v>3786</v>
      </c>
    </row>
    <row r="188" spans="1:1" x14ac:dyDescent="0.35">
      <c r="A188" s="517" t="s">
        <v>3787</v>
      </c>
    </row>
    <row r="189" spans="1:1" x14ac:dyDescent="0.35">
      <c r="A189" s="517" t="s">
        <v>3788</v>
      </c>
    </row>
    <row r="190" spans="1:1" x14ac:dyDescent="0.35">
      <c r="A190" s="517" t="s">
        <v>3789</v>
      </c>
    </row>
    <row r="191" spans="1:1" x14ac:dyDescent="0.35">
      <c r="A191" s="517" t="s">
        <v>3790</v>
      </c>
    </row>
    <row r="192" spans="1:1" x14ac:dyDescent="0.35">
      <c r="A192" s="517" t="s">
        <v>3791</v>
      </c>
    </row>
    <row r="193" spans="1:1" x14ac:dyDescent="0.35">
      <c r="A193" s="517" t="s">
        <v>3792</v>
      </c>
    </row>
    <row r="194" spans="1:1" x14ac:dyDescent="0.35">
      <c r="A194" s="517" t="s">
        <v>3793</v>
      </c>
    </row>
    <row r="195" spans="1:1" x14ac:dyDescent="0.35">
      <c r="A195" s="517" t="s">
        <v>3794</v>
      </c>
    </row>
    <row r="196" spans="1:1" x14ac:dyDescent="0.35">
      <c r="A196" s="517" t="s">
        <v>3795</v>
      </c>
    </row>
    <row r="197" spans="1:1" x14ac:dyDescent="0.35">
      <c r="A197" s="517" t="s">
        <v>3796</v>
      </c>
    </row>
    <row r="198" spans="1:1" x14ac:dyDescent="0.35">
      <c r="A198" s="517" t="s">
        <v>3797</v>
      </c>
    </row>
    <row r="199" spans="1:1" x14ac:dyDescent="0.35">
      <c r="A199" s="517" t="s">
        <v>3798</v>
      </c>
    </row>
    <row r="200" spans="1:1" x14ac:dyDescent="0.35">
      <c r="A200" s="517" t="s">
        <v>3799</v>
      </c>
    </row>
    <row r="201" spans="1:1" x14ac:dyDescent="0.35">
      <c r="A201" s="517" t="s">
        <v>3800</v>
      </c>
    </row>
    <row r="202" spans="1:1" x14ac:dyDescent="0.35">
      <c r="A202" s="517" t="s">
        <v>3801</v>
      </c>
    </row>
    <row r="203" spans="1:1" x14ac:dyDescent="0.35">
      <c r="A203" s="517" t="s">
        <v>3802</v>
      </c>
    </row>
    <row r="204" spans="1:1" x14ac:dyDescent="0.35">
      <c r="A204" s="517" t="s">
        <v>3803</v>
      </c>
    </row>
    <row r="205" spans="1:1" x14ac:dyDescent="0.35">
      <c r="A205" s="517" t="s">
        <v>3804</v>
      </c>
    </row>
    <row r="206" spans="1:1" x14ac:dyDescent="0.35">
      <c r="A206" s="517" t="s">
        <v>3805</v>
      </c>
    </row>
    <row r="207" spans="1:1" x14ac:dyDescent="0.35">
      <c r="A207" s="517" t="s">
        <v>3806</v>
      </c>
    </row>
    <row r="208" spans="1:1" x14ac:dyDescent="0.35">
      <c r="A208" s="517" t="s">
        <v>3807</v>
      </c>
    </row>
    <row r="209" spans="1:1" x14ac:dyDescent="0.35">
      <c r="A209" s="517" t="s">
        <v>3808</v>
      </c>
    </row>
    <row r="210" spans="1:1" x14ac:dyDescent="0.35">
      <c r="A210" s="517" t="s">
        <v>3809</v>
      </c>
    </row>
    <row r="211" spans="1:1" x14ac:dyDescent="0.35">
      <c r="A211" s="517" t="s">
        <v>3810</v>
      </c>
    </row>
    <row r="212" spans="1:1" x14ac:dyDescent="0.35">
      <c r="A212" s="517" t="s">
        <v>3811</v>
      </c>
    </row>
    <row r="213" spans="1:1" x14ac:dyDescent="0.35">
      <c r="A213" s="517" t="s">
        <v>3812</v>
      </c>
    </row>
    <row r="214" spans="1:1" x14ac:dyDescent="0.35">
      <c r="A214" s="517" t="s">
        <v>3813</v>
      </c>
    </row>
    <row r="215" spans="1:1" x14ac:dyDescent="0.35">
      <c r="A215" s="517" t="s">
        <v>3814</v>
      </c>
    </row>
    <row r="216" spans="1:1" x14ac:dyDescent="0.35">
      <c r="A216" s="517" t="s">
        <v>3815</v>
      </c>
    </row>
    <row r="217" spans="1:1" x14ac:dyDescent="0.35">
      <c r="A217" s="517" t="s">
        <v>3816</v>
      </c>
    </row>
    <row r="218" spans="1:1" x14ac:dyDescent="0.35">
      <c r="A218" s="517" t="s">
        <v>3817</v>
      </c>
    </row>
    <row r="219" spans="1:1" x14ac:dyDescent="0.35">
      <c r="A219" s="517" t="s">
        <v>3818</v>
      </c>
    </row>
    <row r="220" spans="1:1" x14ac:dyDescent="0.35">
      <c r="A220" s="517" t="s">
        <v>3819</v>
      </c>
    </row>
    <row r="221" spans="1:1" x14ac:dyDescent="0.35">
      <c r="A221" s="517" t="s">
        <v>3820</v>
      </c>
    </row>
    <row r="222" spans="1:1" x14ac:dyDescent="0.35">
      <c r="A222" s="517" t="s">
        <v>3821</v>
      </c>
    </row>
    <row r="223" spans="1:1" x14ac:dyDescent="0.35">
      <c r="A223" s="517" t="s">
        <v>3822</v>
      </c>
    </row>
    <row r="224" spans="1:1" x14ac:dyDescent="0.35">
      <c r="A224" s="517" t="s">
        <v>3823</v>
      </c>
    </row>
    <row r="225" spans="1:1" x14ac:dyDescent="0.35">
      <c r="A225" s="517" t="s">
        <v>3824</v>
      </c>
    </row>
    <row r="226" spans="1:1" x14ac:dyDescent="0.35">
      <c r="A226" s="517" t="s">
        <v>3825</v>
      </c>
    </row>
    <row r="227" spans="1:1" x14ac:dyDescent="0.35">
      <c r="A227" s="517" t="s">
        <v>3826</v>
      </c>
    </row>
    <row r="228" spans="1:1" x14ac:dyDescent="0.35">
      <c r="A228" s="517" t="s">
        <v>3827</v>
      </c>
    </row>
    <row r="229" spans="1:1" x14ac:dyDescent="0.35">
      <c r="A229" s="517" t="s">
        <v>3828</v>
      </c>
    </row>
    <row r="230" spans="1:1" x14ac:dyDescent="0.35">
      <c r="A230" s="517" t="s">
        <v>3829</v>
      </c>
    </row>
    <row r="231" spans="1:1" x14ac:dyDescent="0.35">
      <c r="A231" s="517" t="s">
        <v>3830</v>
      </c>
    </row>
    <row r="232" spans="1:1" x14ac:dyDescent="0.35">
      <c r="A232" s="517" t="s">
        <v>3831</v>
      </c>
    </row>
    <row r="233" spans="1:1" x14ac:dyDescent="0.35">
      <c r="A233" s="517" t="s">
        <v>3832</v>
      </c>
    </row>
    <row r="234" spans="1:1" x14ac:dyDescent="0.35">
      <c r="A234" s="517" t="s">
        <v>3833</v>
      </c>
    </row>
    <row r="235" spans="1:1" x14ac:dyDescent="0.35">
      <c r="A235" s="517" t="s">
        <v>3834</v>
      </c>
    </row>
    <row r="236" spans="1:1" x14ac:dyDescent="0.35">
      <c r="A236" s="517" t="s">
        <v>3835</v>
      </c>
    </row>
    <row r="237" spans="1:1" x14ac:dyDescent="0.35">
      <c r="A237" s="517" t="s">
        <v>3836</v>
      </c>
    </row>
    <row r="238" spans="1:1" x14ac:dyDescent="0.35">
      <c r="A238" s="517" t="s">
        <v>3837</v>
      </c>
    </row>
    <row r="239" spans="1:1" x14ac:dyDescent="0.35">
      <c r="A239" s="517" t="s">
        <v>3838</v>
      </c>
    </row>
    <row r="240" spans="1:1" x14ac:dyDescent="0.35">
      <c r="A240" s="517" t="s">
        <v>3839</v>
      </c>
    </row>
    <row r="241" spans="1:1" x14ac:dyDescent="0.35">
      <c r="A241" s="517" t="s">
        <v>3840</v>
      </c>
    </row>
    <row r="242" spans="1:1" x14ac:dyDescent="0.35">
      <c r="A242" s="517" t="s">
        <v>3841</v>
      </c>
    </row>
    <row r="243" spans="1:1" x14ac:dyDescent="0.35">
      <c r="A243" s="517" t="s">
        <v>3842</v>
      </c>
    </row>
    <row r="244" spans="1:1" x14ac:dyDescent="0.35">
      <c r="A244" s="517" t="s">
        <v>3843</v>
      </c>
    </row>
    <row r="245" spans="1:1" x14ac:dyDescent="0.35">
      <c r="A245" s="517" t="s">
        <v>3844</v>
      </c>
    </row>
    <row r="246" spans="1:1" x14ac:dyDescent="0.35">
      <c r="A246" s="517" t="s">
        <v>3845</v>
      </c>
    </row>
    <row r="247" spans="1:1" x14ac:dyDescent="0.35">
      <c r="A247" s="517" t="s">
        <v>3846</v>
      </c>
    </row>
    <row r="248" spans="1:1" x14ac:dyDescent="0.35">
      <c r="A248" s="517" t="s">
        <v>3847</v>
      </c>
    </row>
    <row r="249" spans="1:1" x14ac:dyDescent="0.35">
      <c r="A249" s="517" t="s">
        <v>3848</v>
      </c>
    </row>
    <row r="250" spans="1:1" x14ac:dyDescent="0.35">
      <c r="A250" s="517" t="s">
        <v>3849</v>
      </c>
    </row>
    <row r="251" spans="1:1" x14ac:dyDescent="0.35">
      <c r="A251" s="517" t="s">
        <v>3850</v>
      </c>
    </row>
    <row r="252" spans="1:1" x14ac:dyDescent="0.35">
      <c r="A252" s="517" t="s">
        <v>3851</v>
      </c>
    </row>
    <row r="253" spans="1:1" x14ac:dyDescent="0.35">
      <c r="A253" s="517" t="s">
        <v>3852</v>
      </c>
    </row>
    <row r="254" spans="1:1" x14ac:dyDescent="0.35">
      <c r="A254" s="517" t="s">
        <v>3853</v>
      </c>
    </row>
    <row r="255" spans="1:1" x14ac:dyDescent="0.35">
      <c r="A255" s="517" t="s">
        <v>3854</v>
      </c>
    </row>
    <row r="256" spans="1:1" x14ac:dyDescent="0.35">
      <c r="A256" s="517" t="s">
        <v>3855</v>
      </c>
    </row>
    <row r="257" spans="1:6" x14ac:dyDescent="0.35">
      <c r="A257" s="517" t="s">
        <v>3856</v>
      </c>
    </row>
    <row r="258" spans="1:6" x14ac:dyDescent="0.35">
      <c r="A258" s="517" t="s">
        <v>3857</v>
      </c>
    </row>
    <row r="259" spans="1:6" x14ac:dyDescent="0.35">
      <c r="A259" s="517" t="s">
        <v>3858</v>
      </c>
    </row>
    <row r="260" spans="1:6" x14ac:dyDescent="0.35">
      <c r="A260" s="517" t="s">
        <v>3859</v>
      </c>
    </row>
    <row r="261" spans="1:6" x14ac:dyDescent="0.35">
      <c r="A261" s="517" t="s">
        <v>3860</v>
      </c>
    </row>
    <row r="262" spans="1:6" x14ac:dyDescent="0.35">
      <c r="A262" s="517" t="s">
        <v>3861</v>
      </c>
    </row>
    <row r="263" spans="1:6" x14ac:dyDescent="0.35">
      <c r="A263" s="517" t="s">
        <v>3862</v>
      </c>
    </row>
    <row r="264" spans="1:6" x14ac:dyDescent="0.35">
      <c r="A264" s="517" t="s">
        <v>3863</v>
      </c>
    </row>
    <row r="265" spans="1:6" x14ac:dyDescent="0.35">
      <c r="A265" s="517" t="s">
        <v>3864</v>
      </c>
    </row>
    <row r="266" spans="1:6" x14ac:dyDescent="0.35">
      <c r="A266" s="517" t="s">
        <v>3865</v>
      </c>
      <c r="F266" s="517"/>
    </row>
    <row r="267" spans="1:6" x14ac:dyDescent="0.35">
      <c r="A267" s="517" t="s">
        <v>3866</v>
      </c>
    </row>
    <row r="268" spans="1:6" x14ac:dyDescent="0.35">
      <c r="A268" s="517" t="s">
        <v>3867</v>
      </c>
    </row>
    <row r="269" spans="1:6" x14ac:dyDescent="0.35">
      <c r="A269" s="517" t="s">
        <v>3868</v>
      </c>
    </row>
    <row r="270" spans="1:6" x14ac:dyDescent="0.35">
      <c r="A270" s="517" t="s">
        <v>3869</v>
      </c>
    </row>
    <row r="271" spans="1:6" x14ac:dyDescent="0.35">
      <c r="A271" s="517" t="s">
        <v>3870</v>
      </c>
    </row>
    <row r="272" spans="1:6" x14ac:dyDescent="0.35">
      <c r="A272" s="517" t="s">
        <v>3871</v>
      </c>
    </row>
    <row r="273" spans="1:2" x14ac:dyDescent="0.35">
      <c r="A273" s="517" t="s">
        <v>3872</v>
      </c>
    </row>
    <row r="274" spans="1:2" x14ac:dyDescent="0.35">
      <c r="A274" s="517" t="s">
        <v>3873</v>
      </c>
    </row>
    <row r="275" spans="1:2" x14ac:dyDescent="0.35">
      <c r="A275" s="517" t="s">
        <v>3874</v>
      </c>
    </row>
    <row r="276" spans="1:2" x14ac:dyDescent="0.35">
      <c r="A276" s="517" t="s">
        <v>3875</v>
      </c>
    </row>
    <row r="277" spans="1:2" x14ac:dyDescent="0.35">
      <c r="A277" s="517" t="s">
        <v>3876</v>
      </c>
    </row>
    <row r="278" spans="1:2" x14ac:dyDescent="0.35">
      <c r="A278" s="517" t="s">
        <v>3877</v>
      </c>
    </row>
    <row r="279" spans="1:2" x14ac:dyDescent="0.35">
      <c r="A279" s="517" t="s">
        <v>3878</v>
      </c>
    </row>
    <row r="280" spans="1:2" x14ac:dyDescent="0.35">
      <c r="A280" s="517" t="s">
        <v>3879</v>
      </c>
    </row>
    <row r="281" spans="1:2" s="517" customFormat="1" x14ac:dyDescent="0.35">
      <c r="A281" s="517" t="s">
        <v>3880</v>
      </c>
      <c r="B281"/>
    </row>
    <row r="282" spans="1:2" s="517" customFormat="1" x14ac:dyDescent="0.35">
      <c r="A282" s="517" t="s">
        <v>3881</v>
      </c>
      <c r="B282"/>
    </row>
    <row r="283" spans="1:2" s="517" customFormat="1" x14ac:dyDescent="0.35">
      <c r="A283" s="517" t="s">
        <v>3882</v>
      </c>
      <c r="B283"/>
    </row>
    <row r="284" spans="1:2" s="517" customFormat="1" x14ac:dyDescent="0.35">
      <c r="A284" s="517" t="s">
        <v>3883</v>
      </c>
      <c r="B284"/>
    </row>
    <row r="285" spans="1:2" s="517" customFormat="1" x14ac:dyDescent="0.35">
      <c r="A285" s="517" t="s">
        <v>3884</v>
      </c>
      <c r="B285"/>
    </row>
    <row r="286" spans="1:2" s="517" customFormat="1" x14ac:dyDescent="0.35">
      <c r="A286" s="517" t="s">
        <v>3885</v>
      </c>
      <c r="B286"/>
    </row>
    <row r="287" spans="1:2" s="517" customFormat="1" x14ac:dyDescent="0.35">
      <c r="A287" s="517" t="s">
        <v>3886</v>
      </c>
      <c r="B287"/>
    </row>
    <row r="288" spans="1:2" s="517" customFormat="1" x14ac:dyDescent="0.35">
      <c r="A288" s="517" t="s">
        <v>3887</v>
      </c>
      <c r="B288"/>
    </row>
    <row r="289" spans="1:2" s="517" customFormat="1" x14ac:dyDescent="0.35">
      <c r="A289" s="517" t="s">
        <v>3888</v>
      </c>
      <c r="B289"/>
    </row>
    <row r="290" spans="1:2" s="517" customFormat="1" x14ac:dyDescent="0.35">
      <c r="A290" s="517" t="s">
        <v>3889</v>
      </c>
      <c r="B290"/>
    </row>
    <row r="291" spans="1:2" x14ac:dyDescent="0.35">
      <c r="A291" s="517" t="s">
        <v>3890</v>
      </c>
    </row>
    <row r="292" spans="1:2" x14ac:dyDescent="0.35">
      <c r="A292" s="517" t="s">
        <v>3891</v>
      </c>
    </row>
    <row r="293" spans="1:2" x14ac:dyDescent="0.35">
      <c r="A293" s="517" t="s">
        <v>3892</v>
      </c>
    </row>
    <row r="294" spans="1:2" x14ac:dyDescent="0.35">
      <c r="A294" s="517" t="s">
        <v>3893</v>
      </c>
    </row>
    <row r="295" spans="1:2" x14ac:dyDescent="0.35">
      <c r="A295" s="517" t="s">
        <v>3894</v>
      </c>
    </row>
    <row r="296" spans="1:2" x14ac:dyDescent="0.35">
      <c r="A296" s="517" t="s">
        <v>3895</v>
      </c>
    </row>
    <row r="297" spans="1:2" x14ac:dyDescent="0.35">
      <c r="A297" s="517" t="s">
        <v>3896</v>
      </c>
    </row>
    <row r="298" spans="1:2" x14ac:dyDescent="0.35">
      <c r="A298" s="517" t="s">
        <v>3897</v>
      </c>
    </row>
    <row r="299" spans="1:2" x14ac:dyDescent="0.35">
      <c r="A299" s="517" t="s">
        <v>3898</v>
      </c>
    </row>
    <row r="300" spans="1:2" x14ac:dyDescent="0.35">
      <c r="A300" s="517" t="s">
        <v>3899</v>
      </c>
    </row>
    <row r="301" spans="1:2" x14ac:dyDescent="0.35">
      <c r="A301" s="517" t="s">
        <v>3900</v>
      </c>
    </row>
    <row r="302" spans="1:2" x14ac:dyDescent="0.35">
      <c r="A302" s="517" t="s">
        <v>3901</v>
      </c>
    </row>
    <row r="303" spans="1:2" x14ac:dyDescent="0.35">
      <c r="A303" s="517" t="s">
        <v>3902</v>
      </c>
    </row>
    <row r="304" spans="1:2" x14ac:dyDescent="0.35">
      <c r="A304" s="517" t="s">
        <v>3903</v>
      </c>
    </row>
    <row r="305" spans="1:2" x14ac:dyDescent="0.35">
      <c r="A305" s="517" t="s">
        <v>3904</v>
      </c>
    </row>
    <row r="306" spans="1:2" x14ac:dyDescent="0.35">
      <c r="A306" s="517" t="s">
        <v>3905</v>
      </c>
    </row>
    <row r="307" spans="1:2" x14ac:dyDescent="0.35">
      <c r="A307" s="517" t="s">
        <v>3906</v>
      </c>
    </row>
    <row r="308" spans="1:2" x14ac:dyDescent="0.35">
      <c r="A308" s="517" t="s">
        <v>3907</v>
      </c>
    </row>
    <row r="309" spans="1:2" x14ac:dyDescent="0.35">
      <c r="A309" s="517" t="s">
        <v>3908</v>
      </c>
    </row>
    <row r="310" spans="1:2" x14ac:dyDescent="0.35">
      <c r="A310" s="517" t="s">
        <v>3909</v>
      </c>
    </row>
    <row r="311" spans="1:2" x14ac:dyDescent="0.35">
      <c r="A311" s="517" t="s">
        <v>3910</v>
      </c>
      <c r="B311" s="517"/>
    </row>
    <row r="312" spans="1:2" x14ac:dyDescent="0.35">
      <c r="A312" s="517" t="s">
        <v>3911</v>
      </c>
      <c r="B312" s="517"/>
    </row>
    <row r="313" spans="1:2" x14ac:dyDescent="0.35">
      <c r="A313" s="517" t="s">
        <v>3912</v>
      </c>
      <c r="B313" s="517"/>
    </row>
    <row r="314" spans="1:2" x14ac:dyDescent="0.35">
      <c r="A314" s="517" t="s">
        <v>3913</v>
      </c>
      <c r="B314" s="517"/>
    </row>
    <row r="315" spans="1:2" x14ac:dyDescent="0.35">
      <c r="A315" s="517" t="s">
        <v>3914</v>
      </c>
      <c r="B315" s="517"/>
    </row>
    <row r="316" spans="1:2" x14ac:dyDescent="0.35">
      <c r="A316" s="517" t="s">
        <v>3915</v>
      </c>
      <c r="B316" s="517"/>
    </row>
    <row r="317" spans="1:2" x14ac:dyDescent="0.35">
      <c r="A317" s="517" t="s">
        <v>3916</v>
      </c>
      <c r="B317" s="517"/>
    </row>
    <row r="318" spans="1:2" x14ac:dyDescent="0.35">
      <c r="A318" s="517" t="s">
        <v>3917</v>
      </c>
      <c r="B318" s="517"/>
    </row>
    <row r="319" spans="1:2" x14ac:dyDescent="0.35">
      <c r="A319" s="517" t="s">
        <v>3918</v>
      </c>
      <c r="B319" s="517"/>
    </row>
    <row r="320" spans="1:2" x14ac:dyDescent="0.35">
      <c r="A320" s="517" t="s">
        <v>3919</v>
      </c>
      <c r="B320" s="517"/>
    </row>
    <row r="321" spans="1:2" x14ac:dyDescent="0.35">
      <c r="A321" s="517" t="s">
        <v>3920</v>
      </c>
    </row>
    <row r="322" spans="1:2" x14ac:dyDescent="0.35">
      <c r="A322" s="517" t="s">
        <v>3921</v>
      </c>
    </row>
    <row r="323" spans="1:2" x14ac:dyDescent="0.35">
      <c r="A323" s="517" t="s">
        <v>3922</v>
      </c>
    </row>
    <row r="324" spans="1:2" x14ac:dyDescent="0.35">
      <c r="A324" s="517" t="s">
        <v>3923</v>
      </c>
    </row>
    <row r="325" spans="1:2" x14ac:dyDescent="0.35">
      <c r="A325" s="517" t="s">
        <v>3924</v>
      </c>
    </row>
    <row r="326" spans="1:2" s="517" customFormat="1" x14ac:dyDescent="0.35">
      <c r="A326" s="517" t="s">
        <v>3925</v>
      </c>
      <c r="B326"/>
    </row>
    <row r="327" spans="1:2" s="517" customFormat="1" x14ac:dyDescent="0.35">
      <c r="A327" s="517" t="s">
        <v>3926</v>
      </c>
      <c r="B327"/>
    </row>
    <row r="328" spans="1:2" s="517" customFormat="1" x14ac:dyDescent="0.35">
      <c r="A328" s="517" t="s">
        <v>3927</v>
      </c>
      <c r="B328"/>
    </row>
    <row r="329" spans="1:2" s="517" customFormat="1" x14ac:dyDescent="0.35">
      <c r="A329" s="517" t="s">
        <v>3928</v>
      </c>
      <c r="B329"/>
    </row>
    <row r="330" spans="1:2" s="517" customFormat="1" x14ac:dyDescent="0.35">
      <c r="A330" s="517" t="s">
        <v>3929</v>
      </c>
      <c r="B330"/>
    </row>
    <row r="331" spans="1:2" s="517" customFormat="1" x14ac:dyDescent="0.35">
      <c r="A331" s="517" t="s">
        <v>3930</v>
      </c>
      <c r="B331"/>
    </row>
    <row r="332" spans="1:2" s="517" customFormat="1" x14ac:dyDescent="0.35">
      <c r="A332" s="517" t="s">
        <v>3931</v>
      </c>
      <c r="B332"/>
    </row>
    <row r="333" spans="1:2" s="517" customFormat="1" x14ac:dyDescent="0.35">
      <c r="A333" s="517" t="s">
        <v>3932</v>
      </c>
      <c r="B333"/>
    </row>
    <row r="334" spans="1:2" s="517" customFormat="1" x14ac:dyDescent="0.35">
      <c r="A334" s="517" t="s">
        <v>3933</v>
      </c>
      <c r="B334"/>
    </row>
    <row r="335" spans="1:2" s="517" customFormat="1" x14ac:dyDescent="0.35">
      <c r="A335" s="517" t="s">
        <v>3934</v>
      </c>
      <c r="B335"/>
    </row>
    <row r="336" spans="1:2" x14ac:dyDescent="0.35">
      <c r="A336" s="517" t="s">
        <v>3935</v>
      </c>
    </row>
    <row r="337" spans="1:1" x14ac:dyDescent="0.35">
      <c r="A337" s="517" t="s">
        <v>3936</v>
      </c>
    </row>
    <row r="338" spans="1:1" x14ac:dyDescent="0.35">
      <c r="A338" s="517" t="s">
        <v>3937</v>
      </c>
    </row>
    <row r="339" spans="1:1" x14ac:dyDescent="0.35">
      <c r="A339" s="517" t="s">
        <v>3938</v>
      </c>
    </row>
    <row r="340" spans="1:1" x14ac:dyDescent="0.35">
      <c r="A340" s="517" t="s">
        <v>3939</v>
      </c>
    </row>
    <row r="341" spans="1:1" x14ac:dyDescent="0.35">
      <c r="A341" s="517" t="s">
        <v>3940</v>
      </c>
    </row>
    <row r="342" spans="1:1" x14ac:dyDescent="0.35">
      <c r="A342" s="517" t="s">
        <v>3941</v>
      </c>
    </row>
    <row r="343" spans="1:1" x14ac:dyDescent="0.35">
      <c r="A343" s="517" t="s">
        <v>3942</v>
      </c>
    </row>
    <row r="344" spans="1:1" x14ac:dyDescent="0.35">
      <c r="A344" s="517" t="s">
        <v>3943</v>
      </c>
    </row>
    <row r="345" spans="1:1" x14ac:dyDescent="0.35">
      <c r="A345" s="517" t="s">
        <v>3944</v>
      </c>
    </row>
    <row r="346" spans="1:1" x14ac:dyDescent="0.35">
      <c r="A346" s="517" t="s">
        <v>3945</v>
      </c>
    </row>
    <row r="347" spans="1:1" x14ac:dyDescent="0.35">
      <c r="A347" s="517" t="s">
        <v>3946</v>
      </c>
    </row>
    <row r="348" spans="1:1" x14ac:dyDescent="0.35">
      <c r="A348" s="517" t="s">
        <v>3947</v>
      </c>
    </row>
    <row r="349" spans="1:1" x14ac:dyDescent="0.35">
      <c r="A349" s="517" t="s">
        <v>3948</v>
      </c>
    </row>
    <row r="350" spans="1:1" x14ac:dyDescent="0.35">
      <c r="A350" s="517" t="s">
        <v>3949</v>
      </c>
    </row>
    <row r="351" spans="1:1" x14ac:dyDescent="0.35">
      <c r="A351" s="517" t="s">
        <v>3950</v>
      </c>
    </row>
    <row r="352" spans="1:1" x14ac:dyDescent="0.35">
      <c r="A352" s="517" t="s">
        <v>3951</v>
      </c>
    </row>
    <row r="353" spans="1:8" x14ac:dyDescent="0.35">
      <c r="A353" s="517" t="s">
        <v>3952</v>
      </c>
      <c r="E353" s="517"/>
      <c r="F353" s="517"/>
      <c r="G353" s="517"/>
      <c r="H353" s="517"/>
    </row>
    <row r="354" spans="1:8" x14ac:dyDescent="0.35">
      <c r="A354" s="517" t="s">
        <v>3953</v>
      </c>
      <c r="E354" s="517"/>
      <c r="F354" s="517"/>
      <c r="G354" s="517"/>
      <c r="H354" s="517"/>
    </row>
    <row r="355" spans="1:8" x14ac:dyDescent="0.35">
      <c r="A355" s="517" t="s">
        <v>3954</v>
      </c>
      <c r="E355" s="517"/>
      <c r="F355" s="517"/>
      <c r="G355" s="517"/>
      <c r="H355" s="517"/>
    </row>
    <row r="356" spans="1:8" x14ac:dyDescent="0.35">
      <c r="A356" s="517" t="s">
        <v>3955</v>
      </c>
      <c r="B356" s="517"/>
      <c r="E356" s="517"/>
      <c r="F356" s="517"/>
      <c r="G356" s="517"/>
      <c r="H356" s="517"/>
    </row>
    <row r="357" spans="1:8" x14ac:dyDescent="0.35">
      <c r="A357" s="517" t="s">
        <v>3956</v>
      </c>
      <c r="B357" s="517"/>
      <c r="E357" s="517"/>
      <c r="F357" s="517"/>
      <c r="G357" s="517"/>
      <c r="H357" s="517"/>
    </row>
    <row r="358" spans="1:8" x14ac:dyDescent="0.35">
      <c r="A358" s="517" t="s">
        <v>3957</v>
      </c>
      <c r="B358" s="517"/>
      <c r="E358" s="517"/>
      <c r="F358" s="517"/>
      <c r="G358" s="517"/>
      <c r="H358" s="517"/>
    </row>
    <row r="359" spans="1:8" x14ac:dyDescent="0.35">
      <c r="A359" s="517" t="s">
        <v>3958</v>
      </c>
      <c r="B359" s="517"/>
      <c r="E359" s="517"/>
      <c r="F359" s="517"/>
      <c r="G359" s="517"/>
      <c r="H359" s="517"/>
    </row>
    <row r="360" spans="1:8" x14ac:dyDescent="0.35">
      <c r="A360" s="517" t="s">
        <v>3959</v>
      </c>
      <c r="B360" s="517"/>
      <c r="E360" s="517"/>
      <c r="F360" s="517"/>
      <c r="G360" s="517"/>
      <c r="H360" s="517"/>
    </row>
    <row r="361" spans="1:8" x14ac:dyDescent="0.35">
      <c r="A361" s="517" t="s">
        <v>3960</v>
      </c>
      <c r="B361" s="517"/>
      <c r="E361" s="517"/>
      <c r="F361" s="517"/>
      <c r="G361" s="517"/>
      <c r="H361" s="517"/>
    </row>
    <row r="362" spans="1:8" x14ac:dyDescent="0.35">
      <c r="A362" s="517" t="s">
        <v>3961</v>
      </c>
      <c r="B362" s="517"/>
      <c r="E362" s="517"/>
      <c r="F362" s="517"/>
      <c r="G362" s="517"/>
      <c r="H362" s="517"/>
    </row>
    <row r="363" spans="1:8" x14ac:dyDescent="0.35">
      <c r="A363" s="517" t="s">
        <v>3962</v>
      </c>
      <c r="B363" s="517"/>
      <c r="E363" s="517"/>
      <c r="F363" s="517"/>
      <c r="G363" s="517"/>
      <c r="H363" s="517"/>
    </row>
    <row r="364" spans="1:8" x14ac:dyDescent="0.35">
      <c r="A364" s="517" t="s">
        <v>3963</v>
      </c>
      <c r="B364" s="517"/>
    </row>
    <row r="365" spans="1:8" x14ac:dyDescent="0.35">
      <c r="A365" s="517" t="s">
        <v>3964</v>
      </c>
      <c r="B365" s="517"/>
    </row>
    <row r="366" spans="1:8" x14ac:dyDescent="0.35">
      <c r="A366" s="517" t="s">
        <v>3965</v>
      </c>
    </row>
    <row r="367" spans="1:8" x14ac:dyDescent="0.35">
      <c r="A367" s="517" t="s">
        <v>3966</v>
      </c>
    </row>
    <row r="368" spans="1:8" x14ac:dyDescent="0.35">
      <c r="A368" s="517" t="s">
        <v>3967</v>
      </c>
    </row>
    <row r="369" spans="1:2" x14ac:dyDescent="0.35">
      <c r="A369" s="517" t="s">
        <v>3968</v>
      </c>
    </row>
    <row r="370" spans="1:2" x14ac:dyDescent="0.35">
      <c r="A370" s="517" t="s">
        <v>3969</v>
      </c>
    </row>
    <row r="371" spans="1:2" x14ac:dyDescent="0.35">
      <c r="A371" s="517" t="s">
        <v>3970</v>
      </c>
    </row>
    <row r="372" spans="1:2" x14ac:dyDescent="0.35">
      <c r="A372" s="517" t="s">
        <v>3971</v>
      </c>
    </row>
    <row r="373" spans="1:2" x14ac:dyDescent="0.35">
      <c r="A373" s="517" t="s">
        <v>3972</v>
      </c>
    </row>
    <row r="374" spans="1:2" x14ac:dyDescent="0.35">
      <c r="A374" s="517" t="s">
        <v>3973</v>
      </c>
    </row>
    <row r="375" spans="1:2" x14ac:dyDescent="0.35">
      <c r="A375" s="517" t="s">
        <v>3974</v>
      </c>
    </row>
    <row r="376" spans="1:2" x14ac:dyDescent="0.35">
      <c r="A376" s="517" t="s">
        <v>3975</v>
      </c>
    </row>
    <row r="377" spans="1:2" x14ac:dyDescent="0.35">
      <c r="A377" s="517" t="s">
        <v>3976</v>
      </c>
    </row>
    <row r="378" spans="1:2" x14ac:dyDescent="0.35">
      <c r="A378" s="517" t="s">
        <v>3977</v>
      </c>
    </row>
    <row r="379" spans="1:2" x14ac:dyDescent="0.35">
      <c r="A379" s="517" t="s">
        <v>3978</v>
      </c>
    </row>
    <row r="380" spans="1:2" x14ac:dyDescent="0.35">
      <c r="A380" s="517" t="s">
        <v>3979</v>
      </c>
    </row>
    <row r="381" spans="1:2" x14ac:dyDescent="0.35">
      <c r="A381" s="517" t="s">
        <v>3980</v>
      </c>
    </row>
    <row r="382" spans="1:2" x14ac:dyDescent="0.35">
      <c r="A382" s="517" t="s">
        <v>3981</v>
      </c>
    </row>
    <row r="383" spans="1:2" x14ac:dyDescent="0.35">
      <c r="A383" s="517" t="s">
        <v>3982</v>
      </c>
    </row>
    <row r="384" spans="1:2" x14ac:dyDescent="0.35">
      <c r="A384" s="517" t="s">
        <v>3983</v>
      </c>
      <c r="B384" s="517"/>
    </row>
    <row r="385" spans="1:6" x14ac:dyDescent="0.35">
      <c r="A385" s="517" t="s">
        <v>3984</v>
      </c>
      <c r="B385" s="517"/>
    </row>
    <row r="386" spans="1:6" x14ac:dyDescent="0.35">
      <c r="A386" s="517" t="s">
        <v>3985</v>
      </c>
      <c r="B386" s="517"/>
      <c r="F386" s="517"/>
    </row>
    <row r="387" spans="1:6" x14ac:dyDescent="0.35">
      <c r="A387" s="517" t="s">
        <v>3986</v>
      </c>
      <c r="B387" s="517"/>
    </row>
    <row r="388" spans="1:6" x14ac:dyDescent="0.35">
      <c r="A388" s="517" t="s">
        <v>3987</v>
      </c>
      <c r="B388" s="517"/>
    </row>
    <row r="389" spans="1:6" x14ac:dyDescent="0.35">
      <c r="A389" s="517" t="s">
        <v>3988</v>
      </c>
      <c r="B389" s="517"/>
    </row>
    <row r="390" spans="1:6" x14ac:dyDescent="0.35">
      <c r="A390" s="517" t="s">
        <v>3989</v>
      </c>
      <c r="B390" s="517"/>
    </row>
    <row r="391" spans="1:6" x14ac:dyDescent="0.35">
      <c r="A391" s="517" t="s">
        <v>3990</v>
      </c>
      <c r="B391" s="517"/>
    </row>
    <row r="392" spans="1:6" x14ac:dyDescent="0.35">
      <c r="A392" s="517" t="s">
        <v>3991</v>
      </c>
      <c r="B392" s="517"/>
    </row>
    <row r="393" spans="1:6" x14ac:dyDescent="0.35">
      <c r="A393" s="517" t="s">
        <v>3992</v>
      </c>
      <c r="B393" s="517"/>
    </row>
    <row r="394" spans="1:6" x14ac:dyDescent="0.35">
      <c r="A394" s="517" t="s">
        <v>3993</v>
      </c>
    </row>
    <row r="395" spans="1:6" x14ac:dyDescent="0.35">
      <c r="A395" s="517" t="s">
        <v>3994</v>
      </c>
    </row>
    <row r="396" spans="1:6" x14ac:dyDescent="0.35">
      <c r="A396" s="517" t="s">
        <v>3995</v>
      </c>
    </row>
    <row r="397" spans="1:6" x14ac:dyDescent="0.35">
      <c r="A397" s="517" t="s">
        <v>3996</v>
      </c>
    </row>
    <row r="398" spans="1:6" x14ac:dyDescent="0.35">
      <c r="A398" s="517" t="s">
        <v>3997</v>
      </c>
    </row>
    <row r="399" spans="1:6" x14ac:dyDescent="0.35">
      <c r="A399" s="517" t="s">
        <v>3998</v>
      </c>
    </row>
    <row r="400" spans="1:6" x14ac:dyDescent="0.35">
      <c r="A400" s="517" t="s">
        <v>3999</v>
      </c>
    </row>
    <row r="401" spans="1:1" x14ac:dyDescent="0.35">
      <c r="A401" s="517" t="s">
        <v>4000</v>
      </c>
    </row>
    <row r="402" spans="1:1" x14ac:dyDescent="0.35">
      <c r="A402" s="517" t="s">
        <v>4001</v>
      </c>
    </row>
    <row r="403" spans="1:1" x14ac:dyDescent="0.35">
      <c r="A403" s="517" t="s">
        <v>4002</v>
      </c>
    </row>
    <row r="404" spans="1:1" x14ac:dyDescent="0.35">
      <c r="A404" s="517" t="s">
        <v>4003</v>
      </c>
    </row>
    <row r="405" spans="1:1" x14ac:dyDescent="0.35">
      <c r="A405" s="517" t="s">
        <v>4004</v>
      </c>
    </row>
    <row r="406" spans="1:1" x14ac:dyDescent="0.35">
      <c r="A406" s="517" t="s">
        <v>4005</v>
      </c>
    </row>
    <row r="407" spans="1:1" x14ac:dyDescent="0.35">
      <c r="A407" s="517" t="s">
        <v>4006</v>
      </c>
    </row>
    <row r="408" spans="1:1" x14ac:dyDescent="0.35">
      <c r="A408" s="517" t="s">
        <v>4007</v>
      </c>
    </row>
    <row r="409" spans="1:1" x14ac:dyDescent="0.35">
      <c r="A409" s="517" t="s">
        <v>4008</v>
      </c>
    </row>
    <row r="410" spans="1:1" x14ac:dyDescent="0.35">
      <c r="A410" s="517" t="s">
        <v>4009</v>
      </c>
    </row>
    <row r="411" spans="1:1" x14ac:dyDescent="0.35">
      <c r="A411" s="517" t="s">
        <v>4010</v>
      </c>
    </row>
    <row r="412" spans="1:1" x14ac:dyDescent="0.35">
      <c r="A412" s="517" t="s">
        <v>4011</v>
      </c>
    </row>
    <row r="413" spans="1:1" x14ac:dyDescent="0.35">
      <c r="A413" s="517" t="s">
        <v>4012</v>
      </c>
    </row>
    <row r="414" spans="1:1" x14ac:dyDescent="0.35">
      <c r="A414" s="517" t="s">
        <v>4013</v>
      </c>
    </row>
    <row r="415" spans="1:1" x14ac:dyDescent="0.35">
      <c r="A415" s="517" t="s">
        <v>4014</v>
      </c>
    </row>
    <row r="416" spans="1:1" x14ac:dyDescent="0.35">
      <c r="A416" s="517" t="s">
        <v>4015</v>
      </c>
    </row>
    <row r="417" spans="1:6" x14ac:dyDescent="0.35">
      <c r="A417" s="517" t="s">
        <v>4016</v>
      </c>
    </row>
    <row r="418" spans="1:6" x14ac:dyDescent="0.35">
      <c r="A418" s="517" t="s">
        <v>4017</v>
      </c>
    </row>
    <row r="419" spans="1:6" x14ac:dyDescent="0.35">
      <c r="A419" s="517" t="s">
        <v>4018</v>
      </c>
    </row>
    <row r="420" spans="1:6" x14ac:dyDescent="0.35">
      <c r="A420" s="517" t="s">
        <v>4019</v>
      </c>
    </row>
    <row r="421" spans="1:6" x14ac:dyDescent="0.35">
      <c r="A421" s="517" t="s">
        <v>4020</v>
      </c>
    </row>
    <row r="422" spans="1:6" x14ac:dyDescent="0.35">
      <c r="A422" s="517" t="s">
        <v>4021</v>
      </c>
    </row>
    <row r="423" spans="1:6" x14ac:dyDescent="0.35">
      <c r="A423" s="517" t="s">
        <v>4022</v>
      </c>
    </row>
    <row r="424" spans="1:6" x14ac:dyDescent="0.35">
      <c r="A424" s="517" t="s">
        <v>4023</v>
      </c>
    </row>
    <row r="425" spans="1:6" x14ac:dyDescent="0.35">
      <c r="A425" s="517" t="s">
        <v>4024</v>
      </c>
    </row>
    <row r="426" spans="1:6" x14ac:dyDescent="0.35">
      <c r="A426" s="517" t="s">
        <v>4025</v>
      </c>
    </row>
    <row r="427" spans="1:6" x14ac:dyDescent="0.35">
      <c r="A427" s="517" t="s">
        <v>4026</v>
      </c>
    </row>
    <row r="428" spans="1:6" x14ac:dyDescent="0.35">
      <c r="A428" s="517" t="s">
        <v>4027</v>
      </c>
    </row>
    <row r="429" spans="1:6" x14ac:dyDescent="0.35">
      <c r="A429" s="517" t="s">
        <v>4028</v>
      </c>
    </row>
    <row r="430" spans="1:6" x14ac:dyDescent="0.35">
      <c r="A430" s="517" t="s">
        <v>4029</v>
      </c>
    </row>
    <row r="431" spans="1:6" x14ac:dyDescent="0.35">
      <c r="A431" s="517" t="s">
        <v>4030</v>
      </c>
    </row>
    <row r="432" spans="1:6" x14ac:dyDescent="0.35">
      <c r="A432" s="517" t="s">
        <v>4031</v>
      </c>
      <c r="F432" s="517"/>
    </row>
    <row r="433" spans="1:6" x14ac:dyDescent="0.35">
      <c r="A433" s="517" t="s">
        <v>4032</v>
      </c>
    </row>
    <row r="434" spans="1:6" x14ac:dyDescent="0.35">
      <c r="A434" s="517" t="s">
        <v>4033</v>
      </c>
    </row>
    <row r="435" spans="1:6" x14ac:dyDescent="0.35">
      <c r="A435" s="517" t="s">
        <v>4034</v>
      </c>
    </row>
    <row r="436" spans="1:6" x14ac:dyDescent="0.35">
      <c r="A436" s="517" t="s">
        <v>4035</v>
      </c>
    </row>
    <row r="437" spans="1:6" x14ac:dyDescent="0.35">
      <c r="A437" s="517" t="s">
        <v>4036</v>
      </c>
      <c r="F437" s="517"/>
    </row>
    <row r="438" spans="1:6" x14ac:dyDescent="0.35">
      <c r="A438" s="517" t="s">
        <v>4037</v>
      </c>
    </row>
    <row r="439" spans="1:6" x14ac:dyDescent="0.35">
      <c r="A439" s="517" t="s">
        <v>4038</v>
      </c>
    </row>
    <row r="440" spans="1:6" x14ac:dyDescent="0.35">
      <c r="A440" s="517" t="s">
        <v>4039</v>
      </c>
    </row>
    <row r="441" spans="1:6" x14ac:dyDescent="0.35">
      <c r="A441" s="517" t="s">
        <v>4040</v>
      </c>
    </row>
    <row r="442" spans="1:6" x14ac:dyDescent="0.35">
      <c r="A442" s="517" t="s">
        <v>4041</v>
      </c>
    </row>
    <row r="443" spans="1:6" x14ac:dyDescent="0.35">
      <c r="A443" s="517" t="s">
        <v>4042</v>
      </c>
    </row>
    <row r="444" spans="1:6" x14ac:dyDescent="0.35">
      <c r="A444" s="517" t="s">
        <v>4043</v>
      </c>
    </row>
    <row r="445" spans="1:6" x14ac:dyDescent="0.35">
      <c r="A445" s="517" t="s">
        <v>4044</v>
      </c>
    </row>
    <row r="446" spans="1:6" x14ac:dyDescent="0.35">
      <c r="A446" s="517" t="s">
        <v>4045</v>
      </c>
    </row>
    <row r="447" spans="1:6" x14ac:dyDescent="0.35">
      <c r="A447" s="517" t="s">
        <v>4046</v>
      </c>
    </row>
    <row r="448" spans="1:6" x14ac:dyDescent="0.35">
      <c r="A448" s="517" t="s">
        <v>4047</v>
      </c>
    </row>
    <row r="449" spans="1:3" x14ac:dyDescent="0.35">
      <c r="A449" s="517" t="s">
        <v>4048</v>
      </c>
    </row>
    <row r="450" spans="1:3" x14ac:dyDescent="0.35">
      <c r="A450" s="517" t="s">
        <v>4049</v>
      </c>
    </row>
    <row r="451" spans="1:3" x14ac:dyDescent="0.35">
      <c r="A451" s="517" t="s">
        <v>4050</v>
      </c>
    </row>
    <row r="452" spans="1:3" x14ac:dyDescent="0.35">
      <c r="A452" s="517" t="s">
        <v>4051</v>
      </c>
    </row>
    <row r="453" spans="1:3" s="517" customFormat="1" x14ac:dyDescent="0.35">
      <c r="A453" s="517" t="s">
        <v>4052</v>
      </c>
      <c r="B453"/>
    </row>
    <row r="454" spans="1:3" x14ac:dyDescent="0.35">
      <c r="A454" s="517" t="s">
        <v>4053</v>
      </c>
    </row>
    <row r="455" spans="1:3" x14ac:dyDescent="0.35">
      <c r="A455" s="517" t="s">
        <v>4054</v>
      </c>
    </row>
    <row r="456" spans="1:3" x14ac:dyDescent="0.35">
      <c r="A456" s="517" t="s">
        <v>4055</v>
      </c>
    </row>
    <row r="457" spans="1:3" x14ac:dyDescent="0.35">
      <c r="A457" s="517" t="s">
        <v>4056</v>
      </c>
      <c r="B457">
        <v>1</v>
      </c>
      <c r="C457">
        <v>1</v>
      </c>
    </row>
    <row r="458" spans="1:3" x14ac:dyDescent="0.35">
      <c r="A458" s="517" t="s">
        <v>4057</v>
      </c>
      <c r="B458">
        <v>1</v>
      </c>
      <c r="C458">
        <v>1</v>
      </c>
    </row>
    <row r="459" spans="1:3" x14ac:dyDescent="0.35">
      <c r="A459" s="517" t="s">
        <v>4058</v>
      </c>
      <c r="B459">
        <v>1</v>
      </c>
      <c r="C459">
        <v>1</v>
      </c>
    </row>
    <row r="460" spans="1:3" x14ac:dyDescent="0.35">
      <c r="A460" s="517" t="s">
        <v>4059</v>
      </c>
      <c r="B460">
        <v>1</v>
      </c>
      <c r="C460">
        <v>1</v>
      </c>
    </row>
    <row r="461" spans="1:3" x14ac:dyDescent="0.35">
      <c r="A461" s="517" t="s">
        <v>4060</v>
      </c>
      <c r="B461">
        <v>1</v>
      </c>
      <c r="C461">
        <v>1</v>
      </c>
    </row>
    <row r="462" spans="1:3" x14ac:dyDescent="0.35">
      <c r="A462" s="517" t="s">
        <v>4061</v>
      </c>
      <c r="B462">
        <v>1</v>
      </c>
      <c r="C462">
        <v>1</v>
      </c>
    </row>
    <row r="463" spans="1:3" x14ac:dyDescent="0.35">
      <c r="A463" s="517" t="s">
        <v>4062</v>
      </c>
      <c r="B463">
        <v>1</v>
      </c>
      <c r="C463">
        <v>1</v>
      </c>
    </row>
    <row r="464" spans="1:3" x14ac:dyDescent="0.35">
      <c r="A464" s="517" t="s">
        <v>4063</v>
      </c>
      <c r="B464">
        <v>1</v>
      </c>
      <c r="C464">
        <v>1</v>
      </c>
    </row>
    <row r="465" spans="1:6" x14ac:dyDescent="0.35">
      <c r="A465" s="517" t="s">
        <v>4064</v>
      </c>
      <c r="B465">
        <v>1</v>
      </c>
      <c r="C465">
        <v>1</v>
      </c>
      <c r="F465" s="517"/>
    </row>
    <row r="466" spans="1:6" x14ac:dyDescent="0.35">
      <c r="A466" s="517" t="s">
        <v>4065</v>
      </c>
      <c r="B466">
        <v>1</v>
      </c>
      <c r="C466">
        <v>1</v>
      </c>
    </row>
    <row r="467" spans="1:6" x14ac:dyDescent="0.35">
      <c r="A467" s="517" t="s">
        <v>4066</v>
      </c>
      <c r="B467">
        <v>1</v>
      </c>
      <c r="C467">
        <v>1</v>
      </c>
    </row>
    <row r="468" spans="1:6" x14ac:dyDescent="0.35">
      <c r="A468" s="517" t="s">
        <v>4067</v>
      </c>
      <c r="B468">
        <v>1</v>
      </c>
      <c r="C468">
        <v>1</v>
      </c>
    </row>
    <row r="469" spans="1:6" x14ac:dyDescent="0.35">
      <c r="A469" s="517" t="s">
        <v>4068</v>
      </c>
      <c r="B469">
        <v>1</v>
      </c>
      <c r="C469">
        <v>1</v>
      </c>
    </row>
    <row r="470" spans="1:6" x14ac:dyDescent="0.35">
      <c r="A470" s="517" t="s">
        <v>4069</v>
      </c>
      <c r="B470">
        <v>1</v>
      </c>
      <c r="C470">
        <v>1</v>
      </c>
    </row>
    <row r="471" spans="1:6" x14ac:dyDescent="0.35">
      <c r="A471" s="517" t="s">
        <v>4070</v>
      </c>
      <c r="B471">
        <v>1</v>
      </c>
      <c r="C471">
        <v>1</v>
      </c>
    </row>
    <row r="472" spans="1:6" x14ac:dyDescent="0.35">
      <c r="A472" s="517" t="s">
        <v>4071</v>
      </c>
      <c r="B472">
        <v>1</v>
      </c>
      <c r="C472">
        <v>1</v>
      </c>
    </row>
    <row r="473" spans="1:6" x14ac:dyDescent="0.35">
      <c r="A473" s="517" t="s">
        <v>4072</v>
      </c>
      <c r="B473">
        <v>1</v>
      </c>
      <c r="C473">
        <v>1</v>
      </c>
    </row>
    <row r="474" spans="1:6" x14ac:dyDescent="0.35">
      <c r="A474" s="517" t="s">
        <v>4073</v>
      </c>
      <c r="B474">
        <v>1</v>
      </c>
      <c r="C474">
        <v>1</v>
      </c>
    </row>
    <row r="475" spans="1:6" x14ac:dyDescent="0.35">
      <c r="A475" s="517" t="s">
        <v>4074</v>
      </c>
      <c r="B475">
        <v>1</v>
      </c>
      <c r="C475">
        <v>1</v>
      </c>
    </row>
    <row r="476" spans="1:6" x14ac:dyDescent="0.35">
      <c r="A476" s="517" t="s">
        <v>4075</v>
      </c>
      <c r="B476">
        <v>1</v>
      </c>
      <c r="C476">
        <v>1</v>
      </c>
    </row>
    <row r="477" spans="1:6" x14ac:dyDescent="0.35">
      <c r="A477" s="517" t="s">
        <v>4076</v>
      </c>
      <c r="B477">
        <v>1</v>
      </c>
      <c r="C477">
        <v>1</v>
      </c>
    </row>
    <row r="478" spans="1:6" x14ac:dyDescent="0.35">
      <c r="A478" s="517" t="s">
        <v>4077</v>
      </c>
      <c r="B478">
        <v>1</v>
      </c>
      <c r="C478">
        <v>1</v>
      </c>
    </row>
    <row r="479" spans="1:6" x14ac:dyDescent="0.35">
      <c r="A479" s="517" t="s">
        <v>4078</v>
      </c>
      <c r="B479">
        <v>1</v>
      </c>
      <c r="C479">
        <v>1</v>
      </c>
    </row>
    <row r="480" spans="1:6" x14ac:dyDescent="0.35">
      <c r="A480" s="517" t="s">
        <v>4079</v>
      </c>
      <c r="B480">
        <v>1</v>
      </c>
      <c r="C480">
        <v>1</v>
      </c>
    </row>
    <row r="481" spans="1:3" x14ac:dyDescent="0.35">
      <c r="A481" s="517" t="s">
        <v>4080</v>
      </c>
      <c r="B481">
        <v>1</v>
      </c>
      <c r="C481">
        <v>1</v>
      </c>
    </row>
    <row r="482" spans="1:3" x14ac:dyDescent="0.35">
      <c r="A482" s="517" t="s">
        <v>4081</v>
      </c>
      <c r="B482">
        <v>1</v>
      </c>
      <c r="C482">
        <v>1</v>
      </c>
    </row>
    <row r="483" spans="1:3" x14ac:dyDescent="0.35">
      <c r="A483" s="517" t="s">
        <v>4082</v>
      </c>
      <c r="B483">
        <v>1</v>
      </c>
      <c r="C483">
        <v>1</v>
      </c>
    </row>
    <row r="484" spans="1:3" x14ac:dyDescent="0.35">
      <c r="A484" s="517" t="s">
        <v>4083</v>
      </c>
      <c r="B484">
        <v>1</v>
      </c>
      <c r="C484">
        <v>1</v>
      </c>
    </row>
    <row r="485" spans="1:3" x14ac:dyDescent="0.35">
      <c r="A485" s="517" t="s">
        <v>4084</v>
      </c>
      <c r="B485">
        <v>1</v>
      </c>
      <c r="C485">
        <v>1</v>
      </c>
    </row>
    <row r="486" spans="1:3" x14ac:dyDescent="0.35">
      <c r="A486" s="517" t="s">
        <v>4085</v>
      </c>
      <c r="B486">
        <v>1</v>
      </c>
      <c r="C486">
        <v>1</v>
      </c>
    </row>
    <row r="487" spans="1:3" x14ac:dyDescent="0.35">
      <c r="A487" s="517" t="s">
        <v>4086</v>
      </c>
    </row>
    <row r="488" spans="1:3" x14ac:dyDescent="0.35">
      <c r="A488" s="517" t="s">
        <v>4087</v>
      </c>
    </row>
    <row r="489" spans="1:3" x14ac:dyDescent="0.35">
      <c r="A489" s="517" t="s">
        <v>4088</v>
      </c>
    </row>
    <row r="490" spans="1:3" x14ac:dyDescent="0.35">
      <c r="A490" s="517" t="s">
        <v>4089</v>
      </c>
    </row>
    <row r="491" spans="1:3" x14ac:dyDescent="0.35">
      <c r="A491" s="517" t="s">
        <v>4090</v>
      </c>
    </row>
    <row r="492" spans="1:3" x14ac:dyDescent="0.35">
      <c r="A492" s="517" t="s">
        <v>4091</v>
      </c>
    </row>
    <row r="493" spans="1:3" x14ac:dyDescent="0.35">
      <c r="A493" s="517" t="s">
        <v>4092</v>
      </c>
    </row>
    <row r="494" spans="1:3" x14ac:dyDescent="0.35">
      <c r="A494" s="517" t="s">
        <v>4093</v>
      </c>
    </row>
    <row r="495" spans="1:3" x14ac:dyDescent="0.35">
      <c r="A495" s="517" t="s">
        <v>4094</v>
      </c>
    </row>
    <row r="496" spans="1:3" x14ac:dyDescent="0.35">
      <c r="A496" s="517" t="s">
        <v>4095</v>
      </c>
    </row>
    <row r="497" spans="1:1" x14ac:dyDescent="0.35">
      <c r="A497" s="517" t="s">
        <v>4096</v>
      </c>
    </row>
    <row r="498" spans="1:1" x14ac:dyDescent="0.35">
      <c r="A498" s="517" t="s">
        <v>4097</v>
      </c>
    </row>
    <row r="499" spans="1:1" x14ac:dyDescent="0.35">
      <c r="A499" s="517" t="s">
        <v>4098</v>
      </c>
    </row>
    <row r="500" spans="1:1" x14ac:dyDescent="0.35">
      <c r="A500" s="517" t="s">
        <v>4099</v>
      </c>
    </row>
    <row r="501" spans="1:1" x14ac:dyDescent="0.35">
      <c r="A501" s="517" t="s">
        <v>4100</v>
      </c>
    </row>
    <row r="502" spans="1:1" x14ac:dyDescent="0.35">
      <c r="A502" s="517" t="s">
        <v>4101</v>
      </c>
    </row>
    <row r="503" spans="1:1" x14ac:dyDescent="0.35">
      <c r="A503" s="517" t="s">
        <v>4102</v>
      </c>
    </row>
    <row r="504" spans="1:1" x14ac:dyDescent="0.35">
      <c r="A504" s="517" t="s">
        <v>4103</v>
      </c>
    </row>
    <row r="505" spans="1:1" x14ac:dyDescent="0.35">
      <c r="A505" s="517" t="s">
        <v>4104</v>
      </c>
    </row>
    <row r="506" spans="1:1" x14ac:dyDescent="0.35">
      <c r="A506" s="517" t="s">
        <v>4105</v>
      </c>
    </row>
    <row r="507" spans="1:1" x14ac:dyDescent="0.35">
      <c r="A507" s="517" t="s">
        <v>4106</v>
      </c>
    </row>
    <row r="508" spans="1:1" x14ac:dyDescent="0.35">
      <c r="A508" s="517" t="s">
        <v>4107</v>
      </c>
    </row>
    <row r="509" spans="1:1" x14ac:dyDescent="0.35">
      <c r="A509" s="517" t="s">
        <v>4108</v>
      </c>
    </row>
    <row r="510" spans="1:1" x14ac:dyDescent="0.35">
      <c r="A510" s="517" t="s">
        <v>4109</v>
      </c>
    </row>
    <row r="511" spans="1:1" x14ac:dyDescent="0.35">
      <c r="A511" s="517" t="s">
        <v>4110</v>
      </c>
    </row>
    <row r="512" spans="1:1" x14ac:dyDescent="0.35">
      <c r="A512" s="517" t="s">
        <v>4111</v>
      </c>
    </row>
    <row r="513" spans="1:3" x14ac:dyDescent="0.35">
      <c r="A513" s="517" t="s">
        <v>4112</v>
      </c>
    </row>
    <row r="514" spans="1:3" x14ac:dyDescent="0.35">
      <c r="A514" s="517" t="s">
        <v>4113</v>
      </c>
    </row>
    <row r="515" spans="1:3" x14ac:dyDescent="0.35">
      <c r="A515" s="517" t="s">
        <v>4114</v>
      </c>
    </row>
    <row r="516" spans="1:3" x14ac:dyDescent="0.35">
      <c r="A516" s="517" t="s">
        <v>4115</v>
      </c>
    </row>
    <row r="517" spans="1:3" x14ac:dyDescent="0.35">
      <c r="A517" s="517" t="s">
        <v>4145</v>
      </c>
      <c r="B517">
        <v>0</v>
      </c>
      <c r="C517">
        <v>0</v>
      </c>
    </row>
    <row r="518" spans="1:3" x14ac:dyDescent="0.35">
      <c r="A518" s="517" t="s">
        <v>4147</v>
      </c>
    </row>
    <row r="519" spans="1:3" x14ac:dyDescent="0.35">
      <c r="A519" s="517" t="s">
        <v>4150</v>
      </c>
      <c r="C519">
        <v>0</v>
      </c>
    </row>
    <row r="520" spans="1:3" x14ac:dyDescent="0.35">
      <c r="A520" s="517" t="s">
        <v>4151</v>
      </c>
      <c r="B520">
        <v>5000</v>
      </c>
      <c r="C520">
        <v>5000</v>
      </c>
    </row>
    <row r="521" spans="1:3" x14ac:dyDescent="0.35">
      <c r="A521" s="517" t="s">
        <v>4152</v>
      </c>
      <c r="C521">
        <v>0</v>
      </c>
    </row>
    <row r="522" spans="1:3" x14ac:dyDescent="0.35">
      <c r="A522" s="517" t="s">
        <v>4153</v>
      </c>
      <c r="B522">
        <v>1</v>
      </c>
      <c r="C522">
        <v>1</v>
      </c>
    </row>
    <row r="523" spans="1:3" x14ac:dyDescent="0.35">
      <c r="A523" s="517" t="s">
        <v>4155</v>
      </c>
      <c r="B523">
        <v>2</v>
      </c>
      <c r="C523">
        <v>2</v>
      </c>
    </row>
    <row r="524" spans="1:3" x14ac:dyDescent="0.35">
      <c r="A524" s="517" t="s">
        <v>4158</v>
      </c>
      <c r="B524">
        <v>0</v>
      </c>
      <c r="C524">
        <v>0</v>
      </c>
    </row>
    <row r="525" spans="1:3" x14ac:dyDescent="0.35">
      <c r="A525" s="517" t="s">
        <v>4159</v>
      </c>
      <c r="B525">
        <v>0</v>
      </c>
      <c r="C525">
        <v>0</v>
      </c>
    </row>
    <row r="526" spans="1:3" x14ac:dyDescent="0.35">
      <c r="A526" s="517" t="s">
        <v>4163</v>
      </c>
      <c r="B526">
        <v>2</v>
      </c>
      <c r="C526">
        <v>2</v>
      </c>
    </row>
    <row r="527" spans="1:3" x14ac:dyDescent="0.35">
      <c r="A527" s="517" t="s">
        <v>4166</v>
      </c>
      <c r="B527">
        <v>0</v>
      </c>
      <c r="C527">
        <v>0</v>
      </c>
    </row>
    <row r="528" spans="1:3" x14ac:dyDescent="0.35">
      <c r="A528" s="517" t="s">
        <v>4167</v>
      </c>
      <c r="B528">
        <v>0</v>
      </c>
      <c r="C528">
        <v>0</v>
      </c>
    </row>
    <row r="529" spans="1:6" x14ac:dyDescent="0.35">
      <c r="A529" s="517" t="s">
        <v>4169</v>
      </c>
      <c r="B529">
        <v>5000</v>
      </c>
      <c r="C529">
        <v>5000</v>
      </c>
    </row>
    <row r="530" spans="1:6" x14ac:dyDescent="0.35">
      <c r="A530" s="517" t="s">
        <v>4171</v>
      </c>
      <c r="B530">
        <v>5000</v>
      </c>
      <c r="C530">
        <v>5000</v>
      </c>
    </row>
    <row r="531" spans="1:6" x14ac:dyDescent="0.35">
      <c r="A531" s="517" t="s">
        <v>4286</v>
      </c>
      <c r="B531">
        <v>1</v>
      </c>
      <c r="C531">
        <v>1</v>
      </c>
      <c r="F531" s="517"/>
    </row>
    <row r="532" spans="1:6" x14ac:dyDescent="0.35">
      <c r="A532" s="517" t="s">
        <v>4173</v>
      </c>
      <c r="B532">
        <v>5000</v>
      </c>
      <c r="C532">
        <v>5000</v>
      </c>
    </row>
    <row r="533" spans="1:6" x14ac:dyDescent="0.35">
      <c r="A533" s="517" t="s">
        <v>4183</v>
      </c>
      <c r="B533" s="517">
        <v>1</v>
      </c>
      <c r="C533">
        <v>1</v>
      </c>
    </row>
    <row r="534" spans="1:6" x14ac:dyDescent="0.35">
      <c r="A534" s="517" t="s">
        <v>4184</v>
      </c>
      <c r="B534">
        <v>1</v>
      </c>
      <c r="C534">
        <v>1</v>
      </c>
    </row>
    <row r="535" spans="1:6" x14ac:dyDescent="0.35">
      <c r="A535" s="517" t="s">
        <v>4185</v>
      </c>
      <c r="B535">
        <v>1</v>
      </c>
      <c r="C535">
        <v>1</v>
      </c>
    </row>
    <row r="536" spans="1:6" x14ac:dyDescent="0.35">
      <c r="A536" s="517" t="s">
        <v>4186</v>
      </c>
      <c r="B536">
        <v>1</v>
      </c>
      <c r="C536">
        <v>1</v>
      </c>
    </row>
    <row r="537" spans="1:6" x14ac:dyDescent="0.35">
      <c r="A537" s="517" t="s">
        <v>4187</v>
      </c>
      <c r="B537">
        <v>1</v>
      </c>
      <c r="C537">
        <v>1</v>
      </c>
    </row>
    <row r="538" spans="1:6" x14ac:dyDescent="0.35">
      <c r="A538" s="517" t="s">
        <v>4188</v>
      </c>
      <c r="B538">
        <v>1</v>
      </c>
      <c r="C538">
        <v>1</v>
      </c>
    </row>
    <row r="539" spans="1:6" x14ac:dyDescent="0.35">
      <c r="A539" s="517" t="s">
        <v>4189</v>
      </c>
      <c r="B539">
        <v>1</v>
      </c>
      <c r="C539">
        <v>1</v>
      </c>
    </row>
    <row r="540" spans="1:6" x14ac:dyDescent="0.35">
      <c r="A540" s="517" t="s">
        <v>4190</v>
      </c>
      <c r="B540">
        <v>1</v>
      </c>
      <c r="C540">
        <v>1</v>
      </c>
    </row>
    <row r="541" spans="1:6" x14ac:dyDescent="0.35">
      <c r="A541" s="517" t="s">
        <v>4191</v>
      </c>
      <c r="B541">
        <v>1</v>
      </c>
      <c r="C541">
        <v>1</v>
      </c>
    </row>
    <row r="542" spans="1:6" x14ac:dyDescent="0.35">
      <c r="A542" s="517" t="s">
        <v>4201</v>
      </c>
      <c r="B542">
        <v>0</v>
      </c>
      <c r="C542">
        <v>0</v>
      </c>
    </row>
    <row r="543" spans="1:6" x14ac:dyDescent="0.35">
      <c r="A543" s="517" t="s">
        <v>4202</v>
      </c>
      <c r="B543">
        <v>0</v>
      </c>
      <c r="C543">
        <v>0</v>
      </c>
    </row>
    <row r="544" spans="1:6" x14ac:dyDescent="0.35">
      <c r="A544" s="517" t="s">
        <v>4203</v>
      </c>
      <c r="B544">
        <v>0</v>
      </c>
      <c r="C544">
        <v>0</v>
      </c>
      <c r="F544" s="517"/>
    </row>
    <row r="545" spans="1:6" x14ac:dyDescent="0.35">
      <c r="A545" s="517" t="s">
        <v>4204</v>
      </c>
      <c r="B545">
        <v>0</v>
      </c>
      <c r="C545">
        <v>0</v>
      </c>
    </row>
    <row r="546" spans="1:6" x14ac:dyDescent="0.35">
      <c r="A546" s="517" t="s">
        <v>4205</v>
      </c>
      <c r="B546">
        <v>0</v>
      </c>
      <c r="C546">
        <v>0</v>
      </c>
    </row>
    <row r="547" spans="1:6" x14ac:dyDescent="0.35">
      <c r="A547" s="517" t="s">
        <v>4206</v>
      </c>
      <c r="B547">
        <v>0</v>
      </c>
      <c r="C547">
        <v>0</v>
      </c>
    </row>
    <row r="548" spans="1:6" x14ac:dyDescent="0.35">
      <c r="A548" s="517" t="s">
        <v>4207</v>
      </c>
      <c r="B548">
        <v>0</v>
      </c>
      <c r="C548">
        <v>0</v>
      </c>
    </row>
    <row r="549" spans="1:6" x14ac:dyDescent="0.35">
      <c r="A549" s="517" t="s">
        <v>4208</v>
      </c>
      <c r="B549">
        <v>0</v>
      </c>
      <c r="C549">
        <v>0</v>
      </c>
    </row>
    <row r="550" spans="1:6" x14ac:dyDescent="0.35">
      <c r="A550" s="517" t="s">
        <v>4209</v>
      </c>
      <c r="B550">
        <v>0</v>
      </c>
      <c r="C550">
        <v>0</v>
      </c>
    </row>
    <row r="551" spans="1:6" x14ac:dyDescent="0.35">
      <c r="A551" s="517" t="s">
        <v>4212</v>
      </c>
    </row>
    <row r="552" spans="1:6" x14ac:dyDescent="0.35">
      <c r="A552" s="517" t="s">
        <v>4213</v>
      </c>
    </row>
    <row r="553" spans="1:6" x14ac:dyDescent="0.35">
      <c r="A553" s="517" t="s">
        <v>4215</v>
      </c>
      <c r="B553">
        <v>5000</v>
      </c>
      <c r="C553">
        <v>5000</v>
      </c>
    </row>
    <row r="554" spans="1:6" x14ac:dyDescent="0.35">
      <c r="A554" s="517" t="s">
        <v>4216</v>
      </c>
      <c r="B554">
        <v>5000</v>
      </c>
      <c r="C554">
        <v>5000</v>
      </c>
    </row>
    <row r="555" spans="1:6" x14ac:dyDescent="0.35">
      <c r="A555" s="517" t="s">
        <v>4218</v>
      </c>
      <c r="B555">
        <v>5000</v>
      </c>
      <c r="C555">
        <v>5000</v>
      </c>
      <c r="F555" s="517"/>
    </row>
    <row r="556" spans="1:6" x14ac:dyDescent="0.35">
      <c r="A556" s="517" t="s">
        <v>4228</v>
      </c>
      <c r="B556">
        <v>0</v>
      </c>
      <c r="C556">
        <v>0</v>
      </c>
      <c r="F556" s="517"/>
    </row>
    <row r="557" spans="1:6" x14ac:dyDescent="0.35">
      <c r="A557" s="517" t="s">
        <v>4229</v>
      </c>
      <c r="B557">
        <v>0</v>
      </c>
      <c r="C557">
        <v>0</v>
      </c>
      <c r="F557" s="517"/>
    </row>
    <row r="558" spans="1:6" x14ac:dyDescent="0.35">
      <c r="A558" s="517" t="s">
        <v>4230</v>
      </c>
      <c r="B558">
        <v>0</v>
      </c>
      <c r="C558">
        <v>0</v>
      </c>
      <c r="F558" s="517"/>
    </row>
    <row r="559" spans="1:6" x14ac:dyDescent="0.35">
      <c r="A559" s="517" t="s">
        <v>4231</v>
      </c>
      <c r="B559">
        <v>0</v>
      </c>
      <c r="C559">
        <v>0</v>
      </c>
      <c r="F559" s="517"/>
    </row>
    <row r="560" spans="1:6" x14ac:dyDescent="0.35">
      <c r="A560" s="517" t="s">
        <v>4232</v>
      </c>
      <c r="B560">
        <v>0</v>
      </c>
      <c r="C560">
        <v>0</v>
      </c>
      <c r="F560" s="517"/>
    </row>
    <row r="561" spans="1:6" x14ac:dyDescent="0.35">
      <c r="A561" s="517" t="s">
        <v>4233</v>
      </c>
      <c r="B561">
        <v>0</v>
      </c>
      <c r="C561">
        <v>0</v>
      </c>
      <c r="F561" s="517"/>
    </row>
    <row r="562" spans="1:6" x14ac:dyDescent="0.35">
      <c r="A562" s="517" t="s">
        <v>4234</v>
      </c>
      <c r="B562">
        <v>0</v>
      </c>
      <c r="C562">
        <v>0</v>
      </c>
      <c r="F562" s="517"/>
    </row>
    <row r="563" spans="1:6" x14ac:dyDescent="0.35">
      <c r="A563" s="517" t="s">
        <v>4235</v>
      </c>
      <c r="B563">
        <v>0</v>
      </c>
      <c r="C563">
        <v>0</v>
      </c>
      <c r="F563" s="517"/>
    </row>
    <row r="564" spans="1:6" x14ac:dyDescent="0.35">
      <c r="A564" s="517" t="s">
        <v>4236</v>
      </c>
      <c r="B564">
        <v>0</v>
      </c>
      <c r="C564">
        <v>0</v>
      </c>
    </row>
    <row r="565" spans="1:6" x14ac:dyDescent="0.35">
      <c r="A565" s="517" t="s">
        <v>4252</v>
      </c>
      <c r="B565">
        <v>1</v>
      </c>
      <c r="C565">
        <v>1</v>
      </c>
    </row>
    <row r="566" spans="1:6" x14ac:dyDescent="0.35">
      <c r="A566" s="517" t="s">
        <v>4253</v>
      </c>
      <c r="B566">
        <v>1</v>
      </c>
      <c r="C566">
        <v>1</v>
      </c>
    </row>
    <row r="567" spans="1:6" x14ac:dyDescent="0.35">
      <c r="A567" s="517" t="s">
        <v>4254</v>
      </c>
      <c r="B567">
        <v>1</v>
      </c>
      <c r="C567">
        <v>1</v>
      </c>
    </row>
    <row r="568" spans="1:6" x14ac:dyDescent="0.35">
      <c r="A568" s="517" t="s">
        <v>4255</v>
      </c>
      <c r="B568">
        <v>1</v>
      </c>
      <c r="C568">
        <v>1</v>
      </c>
    </row>
    <row r="569" spans="1:6" x14ac:dyDescent="0.35">
      <c r="A569" s="517" t="s">
        <v>4256</v>
      </c>
      <c r="B569">
        <v>1</v>
      </c>
      <c r="C569">
        <v>1</v>
      </c>
    </row>
    <row r="570" spans="1:6" x14ac:dyDescent="0.35">
      <c r="A570" s="517" t="s">
        <v>4257</v>
      </c>
      <c r="B570">
        <v>1</v>
      </c>
      <c r="C570">
        <v>1</v>
      </c>
    </row>
    <row r="571" spans="1:6" x14ac:dyDescent="0.35">
      <c r="A571" s="517" t="s">
        <v>4258</v>
      </c>
      <c r="B571">
        <v>1</v>
      </c>
      <c r="C571">
        <v>1</v>
      </c>
    </row>
    <row r="572" spans="1:6" x14ac:dyDescent="0.35">
      <c r="A572" s="517" t="s">
        <v>4259</v>
      </c>
      <c r="B572" s="22">
        <v>1</v>
      </c>
      <c r="C572">
        <v>1</v>
      </c>
    </row>
    <row r="573" spans="1:6" x14ac:dyDescent="0.35">
      <c r="A573" s="517" t="s">
        <v>4260</v>
      </c>
      <c r="B573">
        <v>1</v>
      </c>
      <c r="C573">
        <v>1</v>
      </c>
    </row>
    <row r="574" spans="1:6" x14ac:dyDescent="0.35">
      <c r="A574" s="517" t="s">
        <v>4249</v>
      </c>
      <c r="B574">
        <v>1</v>
      </c>
      <c r="C574">
        <v>1</v>
      </c>
    </row>
    <row r="575" spans="1:6" x14ac:dyDescent="0.35">
      <c r="A575" s="517" t="s">
        <v>4250</v>
      </c>
      <c r="B575">
        <v>1</v>
      </c>
      <c r="C575">
        <v>1</v>
      </c>
    </row>
    <row r="576" spans="1:6" x14ac:dyDescent="0.35">
      <c r="A576" s="517" t="s">
        <v>4251</v>
      </c>
      <c r="B576">
        <v>1</v>
      </c>
      <c r="C576">
        <v>1</v>
      </c>
    </row>
    <row r="577" spans="1:3" x14ac:dyDescent="0.35">
      <c r="A577" s="517" t="s">
        <v>4262</v>
      </c>
      <c r="B577" t="b">
        <v>0</v>
      </c>
      <c r="C577" t="b">
        <v>0</v>
      </c>
    </row>
    <row r="578" spans="1:3" x14ac:dyDescent="0.35">
      <c r="A578" s="517" t="s">
        <v>4264</v>
      </c>
    </row>
    <row r="579" spans="1:3" x14ac:dyDescent="0.35">
      <c r="A579" s="517" t="s">
        <v>4274</v>
      </c>
      <c r="B579">
        <v>1</v>
      </c>
      <c r="C579">
        <v>1</v>
      </c>
    </row>
    <row r="580" spans="1:3" x14ac:dyDescent="0.35">
      <c r="A580" s="517" t="s">
        <v>4275</v>
      </c>
      <c r="B580">
        <v>1</v>
      </c>
      <c r="C580">
        <v>1</v>
      </c>
    </row>
    <row r="581" spans="1:3" x14ac:dyDescent="0.35">
      <c r="A581" s="517" t="s">
        <v>4276</v>
      </c>
      <c r="B581">
        <v>1</v>
      </c>
      <c r="C581">
        <v>1</v>
      </c>
    </row>
    <row r="582" spans="1:3" x14ac:dyDescent="0.35">
      <c r="A582" s="517" t="s">
        <v>4277</v>
      </c>
      <c r="B582">
        <v>1</v>
      </c>
      <c r="C582">
        <v>1</v>
      </c>
    </row>
    <row r="583" spans="1:3" x14ac:dyDescent="0.35">
      <c r="A583" s="517" t="s">
        <v>4278</v>
      </c>
      <c r="B583">
        <v>1</v>
      </c>
      <c r="C583">
        <v>1</v>
      </c>
    </row>
    <row r="584" spans="1:3" x14ac:dyDescent="0.35">
      <c r="A584" s="517" t="s">
        <v>4279</v>
      </c>
      <c r="B584">
        <v>1</v>
      </c>
      <c r="C584">
        <v>1</v>
      </c>
    </row>
    <row r="585" spans="1:3" x14ac:dyDescent="0.35">
      <c r="A585" s="517" t="s">
        <v>4280</v>
      </c>
      <c r="B585">
        <v>1</v>
      </c>
      <c r="C585">
        <v>1</v>
      </c>
    </row>
    <row r="586" spans="1:3" x14ac:dyDescent="0.35">
      <c r="A586" s="517" t="s">
        <v>4281</v>
      </c>
      <c r="B586">
        <v>1</v>
      </c>
      <c r="C586">
        <v>1</v>
      </c>
    </row>
    <row r="587" spans="1:3" x14ac:dyDescent="0.35">
      <c r="A587" s="517" t="s">
        <v>4282</v>
      </c>
      <c r="B587">
        <v>1</v>
      </c>
      <c r="C587">
        <v>1</v>
      </c>
    </row>
    <row r="588" spans="1:3" x14ac:dyDescent="0.35">
      <c r="A588" s="517" t="s">
        <v>4284</v>
      </c>
      <c r="B588">
        <v>5000</v>
      </c>
      <c r="C588">
        <v>5000</v>
      </c>
    </row>
    <row r="589" spans="1:3" x14ac:dyDescent="0.35">
      <c r="A589" s="517" t="s">
        <v>4288</v>
      </c>
      <c r="B589">
        <v>5000</v>
      </c>
      <c r="C589">
        <v>5000</v>
      </c>
    </row>
    <row r="590" spans="1:3" x14ac:dyDescent="0.35">
      <c r="A590" s="517" t="s">
        <v>4290</v>
      </c>
      <c r="B590">
        <v>5000</v>
      </c>
      <c r="C590">
        <v>5000</v>
      </c>
    </row>
    <row r="591" spans="1:3" x14ac:dyDescent="0.35">
      <c r="A591" s="517" t="s">
        <v>4306</v>
      </c>
      <c r="B591">
        <v>0</v>
      </c>
      <c r="C591">
        <v>0</v>
      </c>
    </row>
    <row r="592" spans="1:3" x14ac:dyDescent="0.35">
      <c r="A592" s="517" t="s">
        <v>4307</v>
      </c>
      <c r="B592">
        <v>0</v>
      </c>
      <c r="C592">
        <v>0</v>
      </c>
    </row>
    <row r="593" spans="1:3" x14ac:dyDescent="0.35">
      <c r="A593" s="517" t="s">
        <v>4308</v>
      </c>
      <c r="B593">
        <v>0</v>
      </c>
      <c r="C593">
        <v>0</v>
      </c>
    </row>
    <row r="594" spans="1:3" x14ac:dyDescent="0.35">
      <c r="A594" s="517" t="s">
        <v>4309</v>
      </c>
      <c r="B594">
        <v>0</v>
      </c>
      <c r="C594">
        <v>0</v>
      </c>
    </row>
    <row r="595" spans="1:3" x14ac:dyDescent="0.35">
      <c r="A595" s="517" t="s">
        <v>4310</v>
      </c>
      <c r="B595">
        <v>0</v>
      </c>
      <c r="C595">
        <v>0</v>
      </c>
    </row>
    <row r="596" spans="1:3" x14ac:dyDescent="0.35">
      <c r="A596" s="517" t="s">
        <v>4311</v>
      </c>
      <c r="B596">
        <v>0</v>
      </c>
      <c r="C596">
        <v>0</v>
      </c>
    </row>
    <row r="597" spans="1:3" x14ac:dyDescent="0.35">
      <c r="A597" s="517" t="s">
        <v>4312</v>
      </c>
      <c r="B597">
        <v>0</v>
      </c>
      <c r="C597">
        <v>0</v>
      </c>
    </row>
    <row r="598" spans="1:3" x14ac:dyDescent="0.35">
      <c r="A598" s="517" t="s">
        <v>4313</v>
      </c>
      <c r="B598">
        <v>0</v>
      </c>
      <c r="C598">
        <v>0</v>
      </c>
    </row>
    <row r="599" spans="1:3" x14ac:dyDescent="0.35">
      <c r="A599" s="517" t="s">
        <v>4314</v>
      </c>
      <c r="B599">
        <v>0</v>
      </c>
      <c r="C599">
        <v>0</v>
      </c>
    </row>
    <row r="600" spans="1:3" x14ac:dyDescent="0.35">
      <c r="A600" s="517" t="s">
        <v>4303</v>
      </c>
      <c r="B600">
        <v>0</v>
      </c>
      <c r="C600">
        <v>0</v>
      </c>
    </row>
    <row r="601" spans="1:3" x14ac:dyDescent="0.35">
      <c r="A601" s="517" t="s">
        <v>4304</v>
      </c>
      <c r="B601">
        <v>0</v>
      </c>
      <c r="C601">
        <v>0</v>
      </c>
    </row>
    <row r="602" spans="1:3" x14ac:dyDescent="0.35">
      <c r="A602" s="517" t="s">
        <v>4305</v>
      </c>
      <c r="B602">
        <v>0</v>
      </c>
      <c r="C602">
        <v>0</v>
      </c>
    </row>
    <row r="603" spans="1:3" x14ac:dyDescent="0.35">
      <c r="A603" s="517" t="s">
        <v>4325</v>
      </c>
    </row>
    <row r="604" spans="1:3" x14ac:dyDescent="0.35">
      <c r="A604" s="517" t="s">
        <v>4335</v>
      </c>
      <c r="B604">
        <v>2</v>
      </c>
      <c r="C604">
        <v>2</v>
      </c>
    </row>
    <row r="605" spans="1:3" x14ac:dyDescent="0.35">
      <c r="A605" s="517" t="s">
        <v>4336</v>
      </c>
      <c r="B605">
        <v>1</v>
      </c>
      <c r="C605">
        <v>1</v>
      </c>
    </row>
    <row r="606" spans="1:3" x14ac:dyDescent="0.35">
      <c r="A606" s="517" t="s">
        <v>4337</v>
      </c>
      <c r="B606">
        <v>1</v>
      </c>
      <c r="C606">
        <v>1</v>
      </c>
    </row>
    <row r="607" spans="1:3" x14ac:dyDescent="0.35">
      <c r="A607" s="517" t="s">
        <v>4338</v>
      </c>
      <c r="B607">
        <v>1</v>
      </c>
      <c r="C607">
        <v>1</v>
      </c>
    </row>
    <row r="608" spans="1:3" x14ac:dyDescent="0.35">
      <c r="A608" s="517" t="s">
        <v>4339</v>
      </c>
      <c r="B608">
        <v>1</v>
      </c>
      <c r="C608">
        <v>1</v>
      </c>
    </row>
    <row r="609" spans="1:3" x14ac:dyDescent="0.35">
      <c r="A609" s="517" t="s">
        <v>4340</v>
      </c>
      <c r="B609">
        <v>1</v>
      </c>
      <c r="C609">
        <v>1</v>
      </c>
    </row>
    <row r="610" spans="1:3" x14ac:dyDescent="0.35">
      <c r="A610" s="517" t="s">
        <v>4341</v>
      </c>
      <c r="B610">
        <v>1</v>
      </c>
      <c r="C610">
        <v>1</v>
      </c>
    </row>
    <row r="611" spans="1:3" x14ac:dyDescent="0.35">
      <c r="A611" s="517" t="s">
        <v>4342</v>
      </c>
      <c r="B611">
        <v>1</v>
      </c>
      <c r="C611">
        <v>1</v>
      </c>
    </row>
    <row r="612" spans="1:3" x14ac:dyDescent="0.35">
      <c r="A612" s="517" t="s">
        <v>4343</v>
      </c>
      <c r="B612">
        <v>1</v>
      </c>
      <c r="C612">
        <v>1</v>
      </c>
    </row>
    <row r="613" spans="1:3" x14ac:dyDescent="0.35">
      <c r="A613" s="517" t="s">
        <v>4130</v>
      </c>
      <c r="B613">
        <v>1</v>
      </c>
      <c r="C613">
        <v>1</v>
      </c>
    </row>
    <row r="614" spans="1:3" x14ac:dyDescent="0.35">
      <c r="A614" s="517" t="s">
        <v>4131</v>
      </c>
      <c r="B614">
        <v>0</v>
      </c>
      <c r="C614">
        <v>0</v>
      </c>
    </row>
    <row r="615" spans="1:3" x14ac:dyDescent="0.35">
      <c r="A615" s="517" t="s">
        <v>4136</v>
      </c>
      <c r="B615">
        <v>0</v>
      </c>
      <c r="C615">
        <v>0</v>
      </c>
    </row>
    <row r="616" spans="1:3" x14ac:dyDescent="0.35">
      <c r="A616" s="517" t="s">
        <v>4137</v>
      </c>
      <c r="B616">
        <v>0</v>
      </c>
      <c r="C616">
        <v>0</v>
      </c>
    </row>
    <row r="617" spans="1:3" x14ac:dyDescent="0.35">
      <c r="A617" s="517" t="s">
        <v>4138</v>
      </c>
      <c r="B617">
        <v>0</v>
      </c>
      <c r="C617">
        <v>0</v>
      </c>
    </row>
    <row r="618" spans="1:3" x14ac:dyDescent="0.35">
      <c r="A618" s="517" t="s">
        <v>4139</v>
      </c>
      <c r="B618">
        <v>0</v>
      </c>
      <c r="C618">
        <v>0</v>
      </c>
    </row>
    <row r="619" spans="1:3" x14ac:dyDescent="0.35">
      <c r="A619" s="517" t="s">
        <v>4140</v>
      </c>
      <c r="B619">
        <v>0</v>
      </c>
      <c r="C619">
        <v>0</v>
      </c>
    </row>
    <row r="620" spans="1:3" x14ac:dyDescent="0.35">
      <c r="A620" s="517" t="s">
        <v>4141</v>
      </c>
      <c r="B620">
        <v>0</v>
      </c>
      <c r="C620">
        <v>0</v>
      </c>
    </row>
    <row r="621" spans="1:3" x14ac:dyDescent="0.35">
      <c r="A621" s="517" t="s">
        <v>4142</v>
      </c>
      <c r="B621">
        <v>0</v>
      </c>
      <c r="C621">
        <v>0</v>
      </c>
    </row>
    <row r="622" spans="1:3" x14ac:dyDescent="0.35">
      <c r="A622" s="517" t="s">
        <v>4143</v>
      </c>
      <c r="B622">
        <v>0</v>
      </c>
      <c r="C622">
        <v>0</v>
      </c>
    </row>
    <row r="623" spans="1:3" x14ac:dyDescent="0.35">
      <c r="A623" s="517" t="s">
        <v>4132</v>
      </c>
      <c r="B623" t="b">
        <v>0</v>
      </c>
      <c r="C623" t="b">
        <v>0</v>
      </c>
    </row>
    <row r="624" spans="1:3" x14ac:dyDescent="0.35">
      <c r="A624" s="517" t="s">
        <v>4133</v>
      </c>
      <c r="B624" t="b">
        <v>0</v>
      </c>
      <c r="C624" t="b">
        <v>0</v>
      </c>
    </row>
    <row r="625" spans="1:3" x14ac:dyDescent="0.35">
      <c r="A625" s="517" t="s">
        <v>4134</v>
      </c>
      <c r="B625" t="b">
        <v>0</v>
      </c>
      <c r="C625" t="b">
        <v>0</v>
      </c>
    </row>
    <row r="626" spans="1:3" x14ac:dyDescent="0.35">
      <c r="A626" s="517" t="s">
        <v>4135</v>
      </c>
      <c r="B626" t="b">
        <v>0</v>
      </c>
      <c r="C626" t="b">
        <v>0</v>
      </c>
    </row>
    <row r="627" spans="1:3" x14ac:dyDescent="0.35">
      <c r="A627" s="517" t="s">
        <v>4347</v>
      </c>
      <c r="B627">
        <v>1</v>
      </c>
      <c r="C627">
        <v>1</v>
      </c>
    </row>
    <row r="628" spans="1:3" x14ac:dyDescent="0.35">
      <c r="A628" s="517" t="s">
        <v>4349</v>
      </c>
      <c r="C628">
        <v>30</v>
      </c>
    </row>
    <row r="629" spans="1:3" x14ac:dyDescent="0.35">
      <c r="A629" s="517" t="s">
        <v>3280</v>
      </c>
      <c r="C629" t="s">
        <v>320</v>
      </c>
    </row>
    <row r="630" spans="1:3" x14ac:dyDescent="0.35">
      <c r="A630" s="517" t="s">
        <v>3281</v>
      </c>
    </row>
    <row r="631" spans="1:3" x14ac:dyDescent="0.35">
      <c r="A631" s="517" t="s">
        <v>3097</v>
      </c>
    </row>
    <row r="632" spans="1:3" x14ac:dyDescent="0.35">
      <c r="A632" s="517" t="s">
        <v>3098</v>
      </c>
    </row>
    <row r="633" spans="1:3" x14ac:dyDescent="0.35">
      <c r="A633" s="517" t="s">
        <v>3099</v>
      </c>
    </row>
    <row r="634" spans="1:3" x14ac:dyDescent="0.35">
      <c r="A634" s="517" t="s">
        <v>3100</v>
      </c>
    </row>
    <row r="635" spans="1:3" x14ac:dyDescent="0.35">
      <c r="A635" s="517" t="s">
        <v>3101</v>
      </c>
    </row>
    <row r="636" spans="1:3" x14ac:dyDescent="0.35">
      <c r="A636" s="517" t="s">
        <v>3102</v>
      </c>
    </row>
    <row r="637" spans="1:3" x14ac:dyDescent="0.35">
      <c r="A637" s="517" t="s">
        <v>3103</v>
      </c>
    </row>
    <row r="638" spans="1:3" x14ac:dyDescent="0.35">
      <c r="A638" s="517" t="s">
        <v>3104</v>
      </c>
    </row>
    <row r="639" spans="1:3" x14ac:dyDescent="0.35">
      <c r="A639" s="517" t="s">
        <v>3105</v>
      </c>
    </row>
    <row r="640" spans="1:3" x14ac:dyDescent="0.35">
      <c r="A640" s="517" t="s">
        <v>3106</v>
      </c>
    </row>
    <row r="641" spans="1:2" x14ac:dyDescent="0.35">
      <c r="A641" s="517" t="s">
        <v>3107</v>
      </c>
    </row>
    <row r="642" spans="1:2" x14ac:dyDescent="0.35">
      <c r="A642" s="517" t="s">
        <v>3108</v>
      </c>
    </row>
    <row r="643" spans="1:2" x14ac:dyDescent="0.35">
      <c r="A643" s="517" t="s">
        <v>3109</v>
      </c>
    </row>
    <row r="644" spans="1:2" x14ac:dyDescent="0.35">
      <c r="A644" s="517" t="s">
        <v>3110</v>
      </c>
    </row>
    <row r="645" spans="1:2" x14ac:dyDescent="0.35">
      <c r="A645" s="517" t="s">
        <v>3111</v>
      </c>
    </row>
    <row r="646" spans="1:2" x14ac:dyDescent="0.35">
      <c r="A646" s="517" t="s">
        <v>3112</v>
      </c>
    </row>
    <row r="647" spans="1:2" x14ac:dyDescent="0.35">
      <c r="A647" s="517" t="s">
        <v>3113</v>
      </c>
    </row>
    <row r="648" spans="1:2" x14ac:dyDescent="0.35">
      <c r="A648" s="517" t="s">
        <v>3114</v>
      </c>
    </row>
    <row r="649" spans="1:2" x14ac:dyDescent="0.35">
      <c r="A649" s="517" t="s">
        <v>3115</v>
      </c>
    </row>
    <row r="650" spans="1:2" x14ac:dyDescent="0.35">
      <c r="A650" s="517" t="s">
        <v>3116</v>
      </c>
    </row>
    <row r="651" spans="1:2" x14ac:dyDescent="0.35">
      <c r="A651" s="517" t="s">
        <v>3117</v>
      </c>
    </row>
    <row r="652" spans="1:2" x14ac:dyDescent="0.35">
      <c r="A652" s="517" t="s">
        <v>3118</v>
      </c>
    </row>
    <row r="653" spans="1:2" s="517" customFormat="1" x14ac:dyDescent="0.35">
      <c r="A653" s="517" t="s">
        <v>3119</v>
      </c>
      <c r="B653"/>
    </row>
    <row r="654" spans="1:2" x14ac:dyDescent="0.35">
      <c r="A654" s="517" t="s">
        <v>3120</v>
      </c>
    </row>
    <row r="655" spans="1:2" x14ac:dyDescent="0.35">
      <c r="A655" s="517" t="s">
        <v>3121</v>
      </c>
    </row>
    <row r="656" spans="1:2" x14ac:dyDescent="0.35">
      <c r="A656" s="517" t="s">
        <v>3122</v>
      </c>
    </row>
    <row r="657" spans="1:2" x14ac:dyDescent="0.35">
      <c r="A657" s="517" t="s">
        <v>3123</v>
      </c>
    </row>
    <row r="658" spans="1:2" s="517" customFormat="1" x14ac:dyDescent="0.35">
      <c r="A658" s="517" t="s">
        <v>3124</v>
      </c>
      <c r="B658"/>
    </row>
    <row r="659" spans="1:2" s="517" customFormat="1" x14ac:dyDescent="0.35">
      <c r="A659" s="517" t="s">
        <v>3125</v>
      </c>
      <c r="B659"/>
    </row>
    <row r="660" spans="1:2" s="517" customFormat="1" x14ac:dyDescent="0.35">
      <c r="A660" s="517" t="s">
        <v>3126</v>
      </c>
      <c r="B660"/>
    </row>
    <row r="661" spans="1:2" s="517" customFormat="1" x14ac:dyDescent="0.35">
      <c r="A661" s="517" t="s">
        <v>3127</v>
      </c>
      <c r="B661"/>
    </row>
    <row r="662" spans="1:2" x14ac:dyDescent="0.35">
      <c r="A662" s="517" t="s">
        <v>3128</v>
      </c>
    </row>
    <row r="663" spans="1:2" x14ac:dyDescent="0.35">
      <c r="A663" s="517" t="s">
        <v>3129</v>
      </c>
    </row>
    <row r="664" spans="1:2" x14ac:dyDescent="0.35">
      <c r="A664" s="517" t="s">
        <v>3130</v>
      </c>
    </row>
    <row r="665" spans="1:2" x14ac:dyDescent="0.35">
      <c r="A665" s="517" t="s">
        <v>3131</v>
      </c>
    </row>
    <row r="666" spans="1:2" x14ac:dyDescent="0.35">
      <c r="A666" s="517" t="s">
        <v>3132</v>
      </c>
    </row>
    <row r="667" spans="1:2" x14ac:dyDescent="0.35">
      <c r="A667" s="517" t="s">
        <v>3133</v>
      </c>
    </row>
    <row r="668" spans="1:2" x14ac:dyDescent="0.35">
      <c r="A668" s="517" t="s">
        <v>3134</v>
      </c>
    </row>
    <row r="669" spans="1:2" x14ac:dyDescent="0.35">
      <c r="A669" s="517" t="s">
        <v>3135</v>
      </c>
    </row>
    <row r="670" spans="1:2" x14ac:dyDescent="0.35">
      <c r="A670" s="517" t="s">
        <v>3136</v>
      </c>
    </row>
    <row r="671" spans="1:2" x14ac:dyDescent="0.35">
      <c r="A671" s="517" t="s">
        <v>3137</v>
      </c>
    </row>
    <row r="672" spans="1:2" x14ac:dyDescent="0.35">
      <c r="A672" s="517" t="s">
        <v>3138</v>
      </c>
      <c r="B672" s="517"/>
    </row>
    <row r="673" spans="1:2" x14ac:dyDescent="0.35">
      <c r="A673" s="517" t="s">
        <v>3139</v>
      </c>
      <c r="B673" s="517"/>
    </row>
    <row r="674" spans="1:2" x14ac:dyDescent="0.35">
      <c r="A674" s="517" t="s">
        <v>3140</v>
      </c>
      <c r="B674" s="517"/>
    </row>
    <row r="675" spans="1:2" x14ac:dyDescent="0.35">
      <c r="A675" s="517" t="s">
        <v>3141</v>
      </c>
      <c r="B675" s="517"/>
    </row>
    <row r="676" spans="1:2" x14ac:dyDescent="0.35">
      <c r="A676" s="517" t="s">
        <v>3142</v>
      </c>
      <c r="B676" s="517"/>
    </row>
    <row r="677" spans="1:2" x14ac:dyDescent="0.35">
      <c r="A677" s="517" t="s">
        <v>3143</v>
      </c>
      <c r="B677" s="517"/>
    </row>
    <row r="678" spans="1:2" x14ac:dyDescent="0.35">
      <c r="A678" s="517" t="s">
        <v>3144</v>
      </c>
      <c r="B678" s="517"/>
    </row>
    <row r="679" spans="1:2" x14ac:dyDescent="0.35">
      <c r="A679" s="517" t="s">
        <v>3145</v>
      </c>
      <c r="B679" s="517"/>
    </row>
    <row r="680" spans="1:2" x14ac:dyDescent="0.35">
      <c r="A680" s="517" t="s">
        <v>3146</v>
      </c>
      <c r="B680" s="517"/>
    </row>
    <row r="681" spans="1:2" x14ac:dyDescent="0.35">
      <c r="A681" s="517" t="s">
        <v>3147</v>
      </c>
      <c r="B681" s="517"/>
    </row>
    <row r="682" spans="1:2" x14ac:dyDescent="0.35">
      <c r="A682" s="517" t="s">
        <v>3148</v>
      </c>
    </row>
    <row r="683" spans="1:2" s="517" customFormat="1" x14ac:dyDescent="0.35">
      <c r="A683" s="517" t="s">
        <v>3149</v>
      </c>
      <c r="B683"/>
    </row>
    <row r="684" spans="1:2" x14ac:dyDescent="0.35">
      <c r="A684" s="517" t="s">
        <v>3150</v>
      </c>
    </row>
    <row r="685" spans="1:2" x14ac:dyDescent="0.35">
      <c r="A685" s="517" t="s">
        <v>3151</v>
      </c>
    </row>
    <row r="686" spans="1:2" x14ac:dyDescent="0.35">
      <c r="A686" s="517" t="s">
        <v>3152</v>
      </c>
    </row>
    <row r="687" spans="1:2" x14ac:dyDescent="0.35">
      <c r="A687" s="517" t="s">
        <v>3153</v>
      </c>
    </row>
    <row r="688" spans="1:2" s="517" customFormat="1" x14ac:dyDescent="0.35">
      <c r="A688" s="517" t="s">
        <v>3154</v>
      </c>
      <c r="B688"/>
    </row>
    <row r="689" spans="1:2" s="517" customFormat="1" x14ac:dyDescent="0.35">
      <c r="A689" s="517" t="s">
        <v>3155</v>
      </c>
      <c r="B689"/>
    </row>
    <row r="690" spans="1:2" s="517" customFormat="1" x14ac:dyDescent="0.35">
      <c r="A690" s="517" t="s">
        <v>3156</v>
      </c>
      <c r="B690"/>
    </row>
    <row r="691" spans="1:2" s="517" customFormat="1" x14ac:dyDescent="0.35">
      <c r="A691" s="517" t="s">
        <v>3157</v>
      </c>
      <c r="B691"/>
    </row>
    <row r="692" spans="1:2" x14ac:dyDescent="0.35">
      <c r="A692" s="517" t="s">
        <v>3158</v>
      </c>
    </row>
    <row r="693" spans="1:2" x14ac:dyDescent="0.35">
      <c r="A693" s="517" t="s">
        <v>3159</v>
      </c>
    </row>
    <row r="694" spans="1:2" x14ac:dyDescent="0.35">
      <c r="A694" s="517" t="s">
        <v>3160</v>
      </c>
    </row>
    <row r="695" spans="1:2" x14ac:dyDescent="0.35">
      <c r="A695" s="517" t="s">
        <v>3161</v>
      </c>
    </row>
    <row r="696" spans="1:2" x14ac:dyDescent="0.35">
      <c r="A696" s="517" t="s">
        <v>3162</v>
      </c>
    </row>
    <row r="697" spans="1:2" x14ac:dyDescent="0.35">
      <c r="A697" s="517" t="s">
        <v>3163</v>
      </c>
      <c r="B697" s="496"/>
    </row>
    <row r="698" spans="1:2" x14ac:dyDescent="0.35">
      <c r="A698" s="517" t="s">
        <v>3164</v>
      </c>
      <c r="B698" s="496"/>
    </row>
    <row r="699" spans="1:2" x14ac:dyDescent="0.35">
      <c r="A699" s="517" t="s">
        <v>3165</v>
      </c>
      <c r="B699" s="496"/>
    </row>
    <row r="700" spans="1:2" x14ac:dyDescent="0.35">
      <c r="A700" s="517" t="s">
        <v>3166</v>
      </c>
      <c r="B700" s="496"/>
    </row>
    <row r="701" spans="1:2" x14ac:dyDescent="0.35">
      <c r="A701" s="517" t="s">
        <v>3167</v>
      </c>
      <c r="B701" s="496"/>
    </row>
    <row r="702" spans="1:2" x14ac:dyDescent="0.35">
      <c r="A702" s="517" t="s">
        <v>3168</v>
      </c>
      <c r="B702" s="496"/>
    </row>
    <row r="703" spans="1:2" x14ac:dyDescent="0.35">
      <c r="A703" s="517" t="s">
        <v>3169</v>
      </c>
      <c r="B703" s="496"/>
    </row>
    <row r="704" spans="1:2" x14ac:dyDescent="0.35">
      <c r="A704" s="517" t="s">
        <v>3170</v>
      </c>
      <c r="B704" s="496"/>
    </row>
    <row r="705" spans="1:2" x14ac:dyDescent="0.35">
      <c r="A705" s="517" t="s">
        <v>3171</v>
      </c>
      <c r="B705" s="496"/>
    </row>
    <row r="706" spans="1:2" x14ac:dyDescent="0.35">
      <c r="A706" s="517" t="s">
        <v>3172</v>
      </c>
      <c r="B706" s="496"/>
    </row>
    <row r="707" spans="1:2" x14ac:dyDescent="0.35">
      <c r="A707" s="517" t="s">
        <v>3173</v>
      </c>
      <c r="B707" s="496"/>
    </row>
    <row r="708" spans="1:2" x14ac:dyDescent="0.35">
      <c r="A708" s="517" t="s">
        <v>3174</v>
      </c>
      <c r="B708" s="496"/>
    </row>
    <row r="709" spans="1:2" x14ac:dyDescent="0.35">
      <c r="A709" s="517" t="s">
        <v>3175</v>
      </c>
      <c r="B709" s="496"/>
    </row>
    <row r="710" spans="1:2" x14ac:dyDescent="0.35">
      <c r="A710" s="517" t="s">
        <v>3176</v>
      </c>
      <c r="B710" s="496"/>
    </row>
    <row r="711" spans="1:2" x14ac:dyDescent="0.35">
      <c r="A711" s="517" t="s">
        <v>3177</v>
      </c>
      <c r="B711" s="496"/>
    </row>
    <row r="712" spans="1:2" x14ac:dyDescent="0.35">
      <c r="A712" s="517" t="s">
        <v>3178</v>
      </c>
      <c r="B712" s="496"/>
    </row>
    <row r="713" spans="1:2" x14ac:dyDescent="0.35">
      <c r="A713" s="517" t="s">
        <v>3179</v>
      </c>
      <c r="B713" s="496"/>
    </row>
    <row r="714" spans="1:2" x14ac:dyDescent="0.35">
      <c r="A714" s="517" t="s">
        <v>3180</v>
      </c>
      <c r="B714" s="496"/>
    </row>
    <row r="715" spans="1:2" x14ac:dyDescent="0.35">
      <c r="A715" s="517" t="s">
        <v>3181</v>
      </c>
      <c r="B715" s="496"/>
    </row>
    <row r="716" spans="1:2" x14ac:dyDescent="0.35">
      <c r="A716" s="517" t="s">
        <v>3182</v>
      </c>
      <c r="B716" s="496"/>
    </row>
    <row r="717" spans="1:2" x14ac:dyDescent="0.35">
      <c r="A717" s="517" t="s">
        <v>3096</v>
      </c>
      <c r="B717" s="496"/>
    </row>
    <row r="718" spans="1:2" x14ac:dyDescent="0.35">
      <c r="A718" s="517" t="s">
        <v>3183</v>
      </c>
      <c r="B718" s="496"/>
    </row>
    <row r="719" spans="1:2" x14ac:dyDescent="0.35">
      <c r="A719" s="517" t="s">
        <v>3184</v>
      </c>
      <c r="B719" s="496"/>
    </row>
    <row r="720" spans="1:2" x14ac:dyDescent="0.35">
      <c r="A720" s="517" t="s">
        <v>3185</v>
      </c>
      <c r="B720" s="496"/>
    </row>
    <row r="721" spans="1:2" x14ac:dyDescent="0.35">
      <c r="A721" s="517" t="s">
        <v>3186</v>
      </c>
      <c r="B721" s="496"/>
    </row>
    <row r="722" spans="1:2" x14ac:dyDescent="0.35">
      <c r="A722" s="517" t="s">
        <v>3187</v>
      </c>
      <c r="B722" s="496"/>
    </row>
    <row r="723" spans="1:2" x14ac:dyDescent="0.35">
      <c r="A723" s="517" t="s">
        <v>3188</v>
      </c>
      <c r="B723" s="496"/>
    </row>
    <row r="724" spans="1:2" x14ac:dyDescent="0.35">
      <c r="A724" s="517" t="s">
        <v>3189</v>
      </c>
      <c r="B724" s="497"/>
    </row>
    <row r="725" spans="1:2" x14ac:dyDescent="0.35">
      <c r="A725" s="517" t="s">
        <v>3190</v>
      </c>
      <c r="B725" s="496"/>
    </row>
    <row r="726" spans="1:2" x14ac:dyDescent="0.35">
      <c r="A726" s="517" t="s">
        <v>3191</v>
      </c>
      <c r="B726" s="496"/>
    </row>
    <row r="727" spans="1:2" x14ac:dyDescent="0.35">
      <c r="A727" s="517" t="s">
        <v>3192</v>
      </c>
      <c r="B727" s="496"/>
    </row>
    <row r="728" spans="1:2" x14ac:dyDescent="0.35">
      <c r="A728" s="517" t="s">
        <v>3193</v>
      </c>
      <c r="B728" s="496"/>
    </row>
    <row r="729" spans="1:2" x14ac:dyDescent="0.35">
      <c r="A729" s="517" t="s">
        <v>3194</v>
      </c>
      <c r="B729" s="496"/>
    </row>
    <row r="730" spans="1:2" x14ac:dyDescent="0.35">
      <c r="A730" s="517" t="s">
        <v>3195</v>
      </c>
      <c r="B730" s="496"/>
    </row>
    <row r="731" spans="1:2" x14ac:dyDescent="0.35">
      <c r="A731" s="517" t="s">
        <v>3196</v>
      </c>
      <c r="B731" s="496"/>
    </row>
    <row r="732" spans="1:2" x14ac:dyDescent="0.35">
      <c r="A732" s="517" t="s">
        <v>3197</v>
      </c>
      <c r="B732" s="496"/>
    </row>
    <row r="733" spans="1:2" x14ac:dyDescent="0.35">
      <c r="A733" s="517" t="s">
        <v>3198</v>
      </c>
      <c r="B733" s="496"/>
    </row>
    <row r="734" spans="1:2" x14ac:dyDescent="0.35">
      <c r="A734" s="517" t="s">
        <v>3199</v>
      </c>
      <c r="B734" s="496"/>
    </row>
    <row r="735" spans="1:2" x14ac:dyDescent="0.35">
      <c r="A735" s="517" t="s">
        <v>3200</v>
      </c>
      <c r="B735" s="496"/>
    </row>
    <row r="736" spans="1:2" x14ac:dyDescent="0.35">
      <c r="A736" s="517" t="s">
        <v>3201</v>
      </c>
      <c r="B736" s="496"/>
    </row>
    <row r="737" spans="1:6" x14ac:dyDescent="0.35">
      <c r="A737" s="517" t="s">
        <v>3202</v>
      </c>
      <c r="B737" s="496"/>
      <c r="F737" s="517"/>
    </row>
    <row r="738" spans="1:6" x14ac:dyDescent="0.35">
      <c r="A738" s="517" t="s">
        <v>3203</v>
      </c>
      <c r="B738" s="496"/>
      <c r="F738" s="517"/>
    </row>
    <row r="739" spans="1:6" x14ac:dyDescent="0.35">
      <c r="A739" s="517" t="s">
        <v>3204</v>
      </c>
      <c r="B739" s="496"/>
      <c r="F739" s="517"/>
    </row>
    <row r="740" spans="1:6" x14ac:dyDescent="0.35">
      <c r="A740" s="517" t="s">
        <v>3205</v>
      </c>
      <c r="B740" s="496"/>
      <c r="F740" s="517"/>
    </row>
    <row r="741" spans="1:6" x14ac:dyDescent="0.35">
      <c r="A741" s="517" t="s">
        <v>3206</v>
      </c>
      <c r="B741" s="496"/>
      <c r="F741" s="517"/>
    </row>
    <row r="742" spans="1:6" x14ac:dyDescent="0.35">
      <c r="A742" s="517" t="s">
        <v>3207</v>
      </c>
      <c r="B742" s="496"/>
      <c r="F742" s="517"/>
    </row>
    <row r="743" spans="1:6" x14ac:dyDescent="0.35">
      <c r="A743" s="517" t="s">
        <v>3208</v>
      </c>
      <c r="B743" s="496">
        <v>50</v>
      </c>
      <c r="C743">
        <v>50</v>
      </c>
      <c r="F743" s="517"/>
    </row>
    <row r="744" spans="1:6" x14ac:dyDescent="0.35">
      <c r="A744" s="517" t="s">
        <v>3209</v>
      </c>
      <c r="B744" s="496"/>
      <c r="F744" s="517"/>
    </row>
    <row r="745" spans="1:6" x14ac:dyDescent="0.35">
      <c r="A745" s="517" t="s">
        <v>3038</v>
      </c>
      <c r="B745" s="496">
        <v>50</v>
      </c>
      <c r="C745">
        <v>50</v>
      </c>
      <c r="F745" s="517"/>
    </row>
    <row r="746" spans="1:6" x14ac:dyDescent="0.35">
      <c r="A746" s="517" t="s">
        <v>4144</v>
      </c>
      <c r="B746" s="496">
        <v>0</v>
      </c>
      <c r="C746">
        <v>0</v>
      </c>
      <c r="F746" s="517"/>
    </row>
    <row r="747" spans="1:6" x14ac:dyDescent="0.35">
      <c r="A747" s="517" t="s">
        <v>4146</v>
      </c>
      <c r="B747" s="496"/>
      <c r="F747" s="517"/>
    </row>
    <row r="748" spans="1:6" x14ac:dyDescent="0.35">
      <c r="A748" s="517" t="s">
        <v>4148</v>
      </c>
      <c r="B748" s="496"/>
      <c r="C748">
        <v>0</v>
      </c>
    </row>
    <row r="749" spans="1:6" x14ac:dyDescent="0.35">
      <c r="A749" s="517" t="s">
        <v>4149</v>
      </c>
      <c r="B749" s="496">
        <v>1</v>
      </c>
      <c r="C749">
        <v>1</v>
      </c>
    </row>
    <row r="750" spans="1:6" x14ac:dyDescent="0.35">
      <c r="A750" s="517" t="s">
        <v>4154</v>
      </c>
      <c r="B750" s="496">
        <v>2</v>
      </c>
      <c r="C750">
        <v>2</v>
      </c>
    </row>
    <row r="751" spans="1:6" x14ac:dyDescent="0.35">
      <c r="A751" s="517" t="s">
        <v>4156</v>
      </c>
      <c r="B751" s="496">
        <v>0</v>
      </c>
      <c r="C751">
        <v>0</v>
      </c>
    </row>
    <row r="752" spans="1:6" x14ac:dyDescent="0.35">
      <c r="A752" s="517" t="s">
        <v>4157</v>
      </c>
      <c r="B752" s="496">
        <v>0</v>
      </c>
      <c r="C752">
        <v>0</v>
      </c>
    </row>
    <row r="753" spans="1:3" x14ac:dyDescent="0.35">
      <c r="A753" s="517" t="s">
        <v>4160</v>
      </c>
      <c r="B753" s="496"/>
      <c r="C753">
        <v>42370</v>
      </c>
    </row>
    <row r="754" spans="1:3" x14ac:dyDescent="0.35">
      <c r="A754" s="517" t="s">
        <v>4161</v>
      </c>
      <c r="B754" s="496"/>
      <c r="C754">
        <v>10</v>
      </c>
    </row>
    <row r="755" spans="1:3" x14ac:dyDescent="0.35">
      <c r="A755" s="517" t="s">
        <v>4162</v>
      </c>
      <c r="B755" s="496">
        <v>2</v>
      </c>
      <c r="C755">
        <v>2</v>
      </c>
    </row>
    <row r="756" spans="1:3" x14ac:dyDescent="0.35">
      <c r="A756" s="517" t="s">
        <v>4164</v>
      </c>
      <c r="B756" s="496">
        <v>0</v>
      </c>
      <c r="C756">
        <v>0</v>
      </c>
    </row>
    <row r="757" spans="1:3" x14ac:dyDescent="0.35">
      <c r="A757" s="517" t="s">
        <v>4165</v>
      </c>
      <c r="B757" s="496">
        <v>0</v>
      </c>
      <c r="C757">
        <v>0</v>
      </c>
    </row>
    <row r="758" spans="1:3" x14ac:dyDescent="0.35">
      <c r="A758" s="517" t="s">
        <v>4168</v>
      </c>
      <c r="B758" s="496">
        <v>5000</v>
      </c>
      <c r="C758">
        <v>5000</v>
      </c>
    </row>
    <row r="759" spans="1:3" x14ac:dyDescent="0.35">
      <c r="A759" s="517" t="s">
        <v>4170</v>
      </c>
      <c r="B759" s="496">
        <v>5000</v>
      </c>
      <c r="C759">
        <v>5000</v>
      </c>
    </row>
    <row r="760" spans="1:3" x14ac:dyDescent="0.35">
      <c r="A760" s="517" t="s">
        <v>4285</v>
      </c>
      <c r="B760" s="496">
        <v>1</v>
      </c>
      <c r="C760">
        <v>1</v>
      </c>
    </row>
    <row r="761" spans="1:3" x14ac:dyDescent="0.35">
      <c r="A761" s="517" t="s">
        <v>4172</v>
      </c>
      <c r="B761" s="496">
        <v>5000</v>
      </c>
      <c r="C761">
        <v>5000</v>
      </c>
    </row>
    <row r="762" spans="1:3" x14ac:dyDescent="0.35">
      <c r="A762" s="517" t="s">
        <v>4174</v>
      </c>
      <c r="B762" s="496">
        <v>1</v>
      </c>
      <c r="C762">
        <v>1</v>
      </c>
    </row>
    <row r="763" spans="1:3" x14ac:dyDescent="0.35">
      <c r="A763" s="517" t="s">
        <v>4175</v>
      </c>
      <c r="B763" s="496">
        <v>1</v>
      </c>
      <c r="C763">
        <v>1</v>
      </c>
    </row>
    <row r="764" spans="1:3" x14ac:dyDescent="0.35">
      <c r="A764" s="517" t="s">
        <v>4176</v>
      </c>
      <c r="B764" s="496">
        <v>1</v>
      </c>
      <c r="C764">
        <v>1</v>
      </c>
    </row>
    <row r="765" spans="1:3" x14ac:dyDescent="0.35">
      <c r="A765" s="517" t="s">
        <v>4177</v>
      </c>
      <c r="B765" s="496">
        <v>1</v>
      </c>
      <c r="C765">
        <v>1</v>
      </c>
    </row>
    <row r="766" spans="1:3" x14ac:dyDescent="0.35">
      <c r="A766" s="517" t="s">
        <v>4178</v>
      </c>
      <c r="B766" s="496">
        <v>1</v>
      </c>
      <c r="C766">
        <v>1</v>
      </c>
    </row>
    <row r="767" spans="1:3" x14ac:dyDescent="0.35">
      <c r="A767" s="517" t="s">
        <v>4179</v>
      </c>
      <c r="B767" s="496">
        <v>1</v>
      </c>
      <c r="C767">
        <v>1</v>
      </c>
    </row>
    <row r="768" spans="1:3" x14ac:dyDescent="0.35">
      <c r="A768" s="517" t="s">
        <v>4180</v>
      </c>
      <c r="B768" s="496">
        <v>1</v>
      </c>
      <c r="C768">
        <v>1</v>
      </c>
    </row>
    <row r="769" spans="1:3" x14ac:dyDescent="0.35">
      <c r="A769" s="517" t="s">
        <v>4181</v>
      </c>
      <c r="B769" s="496">
        <v>1</v>
      </c>
      <c r="C769">
        <v>1</v>
      </c>
    </row>
    <row r="770" spans="1:3" x14ac:dyDescent="0.35">
      <c r="A770" s="517" t="s">
        <v>4182</v>
      </c>
      <c r="B770" s="496">
        <v>1</v>
      </c>
      <c r="C770">
        <v>1</v>
      </c>
    </row>
    <row r="771" spans="1:3" x14ac:dyDescent="0.35">
      <c r="A771" s="517" t="s">
        <v>4192</v>
      </c>
      <c r="B771" s="496">
        <v>0</v>
      </c>
      <c r="C771">
        <v>0</v>
      </c>
    </row>
    <row r="772" spans="1:3" x14ac:dyDescent="0.35">
      <c r="A772" s="517" t="s">
        <v>4193</v>
      </c>
      <c r="B772" s="496">
        <v>0</v>
      </c>
      <c r="C772">
        <v>0</v>
      </c>
    </row>
    <row r="773" spans="1:3" x14ac:dyDescent="0.35">
      <c r="A773" s="517" t="s">
        <v>4194</v>
      </c>
      <c r="B773" s="496">
        <v>0</v>
      </c>
      <c r="C773">
        <v>0</v>
      </c>
    </row>
    <row r="774" spans="1:3" x14ac:dyDescent="0.35">
      <c r="A774" s="517" t="s">
        <v>4195</v>
      </c>
      <c r="B774" s="496">
        <v>0</v>
      </c>
      <c r="C774">
        <v>0</v>
      </c>
    </row>
    <row r="775" spans="1:3" x14ac:dyDescent="0.35">
      <c r="A775" s="517" t="s">
        <v>4196</v>
      </c>
      <c r="B775" s="496">
        <v>0</v>
      </c>
      <c r="C775">
        <v>0</v>
      </c>
    </row>
    <row r="776" spans="1:3" x14ac:dyDescent="0.35">
      <c r="A776" s="517" t="s">
        <v>4197</v>
      </c>
      <c r="B776" s="496">
        <v>0</v>
      </c>
      <c r="C776">
        <v>0</v>
      </c>
    </row>
    <row r="777" spans="1:3" x14ac:dyDescent="0.35">
      <c r="A777" s="517" t="s">
        <v>4198</v>
      </c>
      <c r="B777" s="496">
        <v>0</v>
      </c>
      <c r="C777">
        <v>0</v>
      </c>
    </row>
    <row r="778" spans="1:3" x14ac:dyDescent="0.35">
      <c r="A778" s="517" t="s">
        <v>4199</v>
      </c>
      <c r="B778" s="496">
        <v>0</v>
      </c>
      <c r="C778">
        <v>0</v>
      </c>
    </row>
    <row r="779" spans="1:3" x14ac:dyDescent="0.35">
      <c r="A779" s="517" t="s">
        <v>4200</v>
      </c>
      <c r="B779" s="496">
        <v>0</v>
      </c>
      <c r="C779">
        <v>0</v>
      </c>
    </row>
    <row r="780" spans="1:3" x14ac:dyDescent="0.35">
      <c r="A780" s="517" t="s">
        <v>4210</v>
      </c>
      <c r="B780" s="496"/>
    </row>
    <row r="781" spans="1:3" x14ac:dyDescent="0.35">
      <c r="A781" s="517" t="s">
        <v>4211</v>
      </c>
      <c r="B781" s="496"/>
    </row>
    <row r="782" spans="1:3" x14ac:dyDescent="0.35">
      <c r="A782" s="517" t="s">
        <v>4214</v>
      </c>
      <c r="B782" s="496">
        <v>5000</v>
      </c>
      <c r="C782">
        <v>5000</v>
      </c>
    </row>
    <row r="783" spans="1:3" x14ac:dyDescent="0.35">
      <c r="A783" s="517" t="s">
        <v>4217</v>
      </c>
      <c r="B783" s="496">
        <v>5000</v>
      </c>
      <c r="C783">
        <v>5000</v>
      </c>
    </row>
    <row r="784" spans="1:3" x14ac:dyDescent="0.35">
      <c r="A784" s="517" t="s">
        <v>4219</v>
      </c>
      <c r="B784" s="496">
        <v>0</v>
      </c>
      <c r="C784">
        <v>0</v>
      </c>
    </row>
    <row r="785" spans="1:3" x14ac:dyDescent="0.35">
      <c r="A785" s="517" t="s">
        <v>4220</v>
      </c>
      <c r="B785" s="496">
        <v>0</v>
      </c>
      <c r="C785">
        <v>0</v>
      </c>
    </row>
    <row r="786" spans="1:3" x14ac:dyDescent="0.35">
      <c r="A786" s="517" t="s">
        <v>4221</v>
      </c>
      <c r="B786" s="496">
        <v>0</v>
      </c>
      <c r="C786">
        <v>0</v>
      </c>
    </row>
    <row r="787" spans="1:3" x14ac:dyDescent="0.35">
      <c r="A787" s="517" t="s">
        <v>4222</v>
      </c>
      <c r="B787" s="496">
        <v>0</v>
      </c>
      <c r="C787">
        <v>0</v>
      </c>
    </row>
    <row r="788" spans="1:3" x14ac:dyDescent="0.35">
      <c r="A788" s="517" t="s">
        <v>4223</v>
      </c>
      <c r="B788" s="496">
        <v>0</v>
      </c>
      <c r="C788">
        <v>0</v>
      </c>
    </row>
    <row r="789" spans="1:3" x14ac:dyDescent="0.35">
      <c r="A789" s="517" t="s">
        <v>4224</v>
      </c>
      <c r="B789" s="496">
        <v>0</v>
      </c>
      <c r="C789">
        <v>0</v>
      </c>
    </row>
    <row r="790" spans="1:3" x14ac:dyDescent="0.35">
      <c r="A790" s="517" t="s">
        <v>4225</v>
      </c>
      <c r="B790" s="496">
        <v>0</v>
      </c>
      <c r="C790">
        <v>0</v>
      </c>
    </row>
    <row r="791" spans="1:3" x14ac:dyDescent="0.35">
      <c r="A791" s="517" t="s">
        <v>4226</v>
      </c>
      <c r="B791" s="496">
        <v>0</v>
      </c>
      <c r="C791">
        <v>0</v>
      </c>
    </row>
    <row r="792" spans="1:3" x14ac:dyDescent="0.35">
      <c r="A792" s="517" t="s">
        <v>4227</v>
      </c>
      <c r="B792" s="496">
        <v>0</v>
      </c>
      <c r="C792">
        <v>0</v>
      </c>
    </row>
    <row r="793" spans="1:3" x14ac:dyDescent="0.35">
      <c r="A793" s="517" t="s">
        <v>4240</v>
      </c>
      <c r="B793" s="496">
        <v>1</v>
      </c>
      <c r="C793">
        <v>1</v>
      </c>
    </row>
    <row r="794" spans="1:3" x14ac:dyDescent="0.35">
      <c r="A794" s="517" t="s">
        <v>4241</v>
      </c>
      <c r="B794" s="496">
        <v>1</v>
      </c>
      <c r="C794">
        <v>1</v>
      </c>
    </row>
    <row r="795" spans="1:3" x14ac:dyDescent="0.35">
      <c r="A795" s="517" t="s">
        <v>4242</v>
      </c>
      <c r="B795" s="496">
        <v>1</v>
      </c>
      <c r="C795">
        <v>1</v>
      </c>
    </row>
    <row r="796" spans="1:3" x14ac:dyDescent="0.35">
      <c r="A796" s="517" t="s">
        <v>4243</v>
      </c>
      <c r="B796" s="496">
        <v>1</v>
      </c>
      <c r="C796">
        <v>1</v>
      </c>
    </row>
    <row r="797" spans="1:3" x14ac:dyDescent="0.35">
      <c r="A797" s="517" t="s">
        <v>4244</v>
      </c>
      <c r="B797" s="496">
        <v>1</v>
      </c>
      <c r="C797">
        <v>1</v>
      </c>
    </row>
    <row r="798" spans="1:3" x14ac:dyDescent="0.35">
      <c r="A798" s="517" t="s">
        <v>4245</v>
      </c>
      <c r="B798" s="496">
        <v>1</v>
      </c>
      <c r="C798">
        <v>1</v>
      </c>
    </row>
    <row r="799" spans="1:3" x14ac:dyDescent="0.35">
      <c r="A799" s="517" t="s">
        <v>4246</v>
      </c>
      <c r="B799" s="496">
        <v>1</v>
      </c>
      <c r="C799">
        <v>1</v>
      </c>
    </row>
    <row r="800" spans="1:3" x14ac:dyDescent="0.35">
      <c r="A800" s="517" t="s">
        <v>4247</v>
      </c>
      <c r="B800" s="496">
        <v>1</v>
      </c>
      <c r="C800">
        <v>1</v>
      </c>
    </row>
    <row r="801" spans="1:3" x14ac:dyDescent="0.35">
      <c r="A801" s="517" t="s">
        <v>4248</v>
      </c>
      <c r="B801" s="496">
        <v>1</v>
      </c>
      <c r="C801">
        <v>1</v>
      </c>
    </row>
    <row r="802" spans="1:3" x14ac:dyDescent="0.35">
      <c r="A802" s="517" t="s">
        <v>4237</v>
      </c>
      <c r="B802" s="496">
        <v>0</v>
      </c>
      <c r="C802">
        <v>0</v>
      </c>
    </row>
    <row r="803" spans="1:3" x14ac:dyDescent="0.35">
      <c r="A803" s="517" t="s">
        <v>4238</v>
      </c>
      <c r="B803" s="496">
        <v>0</v>
      </c>
      <c r="C803">
        <v>0</v>
      </c>
    </row>
    <row r="804" spans="1:3" x14ac:dyDescent="0.35">
      <c r="A804" s="517" t="s">
        <v>4239</v>
      </c>
      <c r="B804" s="496">
        <v>0</v>
      </c>
      <c r="C804">
        <v>0</v>
      </c>
    </row>
    <row r="805" spans="1:3" x14ac:dyDescent="0.35">
      <c r="A805" s="517" t="s">
        <v>4261</v>
      </c>
      <c r="B805" s="496" t="b">
        <v>0</v>
      </c>
      <c r="C805" t="b">
        <v>0</v>
      </c>
    </row>
    <row r="806" spans="1:3" x14ac:dyDescent="0.35">
      <c r="A806" s="517" t="s">
        <v>4263</v>
      </c>
      <c r="B806" s="496"/>
    </row>
    <row r="807" spans="1:3" x14ac:dyDescent="0.35">
      <c r="A807" s="517" t="s">
        <v>4265</v>
      </c>
      <c r="B807" s="496">
        <v>3</v>
      </c>
      <c r="C807">
        <v>3</v>
      </c>
    </row>
    <row r="808" spans="1:3" x14ac:dyDescent="0.35">
      <c r="A808" s="517" t="s">
        <v>4266</v>
      </c>
      <c r="B808" s="496">
        <v>5</v>
      </c>
      <c r="C808">
        <v>5</v>
      </c>
    </row>
    <row r="809" spans="1:3" x14ac:dyDescent="0.35">
      <c r="A809" s="517" t="s">
        <v>4267</v>
      </c>
      <c r="B809" s="496">
        <v>4</v>
      </c>
      <c r="C809">
        <v>4</v>
      </c>
    </row>
    <row r="810" spans="1:3" x14ac:dyDescent="0.35">
      <c r="A810" s="517" t="s">
        <v>4268</v>
      </c>
      <c r="B810" s="496">
        <v>6</v>
      </c>
      <c r="C810">
        <v>6</v>
      </c>
    </row>
    <row r="811" spans="1:3" x14ac:dyDescent="0.35">
      <c r="A811" s="517" t="s">
        <v>4269</v>
      </c>
      <c r="B811" s="496">
        <v>3</v>
      </c>
      <c r="C811">
        <v>3</v>
      </c>
    </row>
    <row r="812" spans="1:3" s="517" customFormat="1" x14ac:dyDescent="0.35">
      <c r="A812" s="517" t="s">
        <v>4270</v>
      </c>
      <c r="B812" s="496">
        <v>4</v>
      </c>
      <c r="C812" s="517">
        <v>4</v>
      </c>
    </row>
    <row r="813" spans="1:3" x14ac:dyDescent="0.35">
      <c r="A813" s="517" t="s">
        <v>4271</v>
      </c>
      <c r="B813" s="496">
        <v>5</v>
      </c>
      <c r="C813">
        <v>5</v>
      </c>
    </row>
    <row r="814" spans="1:3" x14ac:dyDescent="0.35">
      <c r="A814" s="517" t="s">
        <v>4272</v>
      </c>
      <c r="B814" s="496">
        <v>6</v>
      </c>
      <c r="C814">
        <v>6</v>
      </c>
    </row>
    <row r="815" spans="1:3" s="517" customFormat="1" x14ac:dyDescent="0.35">
      <c r="A815" s="517" t="s">
        <v>4273</v>
      </c>
      <c r="B815" s="496">
        <v>5</v>
      </c>
      <c r="C815" s="517">
        <v>5</v>
      </c>
    </row>
    <row r="816" spans="1:3" s="517" customFormat="1" x14ac:dyDescent="0.35">
      <c r="A816" s="517" t="s">
        <v>4283</v>
      </c>
      <c r="B816" s="271">
        <v>5000</v>
      </c>
      <c r="C816" s="517">
        <v>5000</v>
      </c>
    </row>
    <row r="817" spans="1:3" x14ac:dyDescent="0.35">
      <c r="A817" s="517" t="s">
        <v>4287</v>
      </c>
      <c r="B817" s="271">
        <v>5000</v>
      </c>
      <c r="C817">
        <v>5000</v>
      </c>
    </row>
    <row r="818" spans="1:3" x14ac:dyDescent="0.35">
      <c r="A818" s="517" t="s">
        <v>4289</v>
      </c>
      <c r="B818" s="271">
        <v>5000</v>
      </c>
      <c r="C818">
        <v>5000</v>
      </c>
    </row>
    <row r="819" spans="1:3" x14ac:dyDescent="0.35">
      <c r="A819" s="517" t="s">
        <v>4294</v>
      </c>
      <c r="B819" s="271">
        <v>0</v>
      </c>
      <c r="C819">
        <v>0</v>
      </c>
    </row>
    <row r="820" spans="1:3" x14ac:dyDescent="0.35">
      <c r="A820" s="517" t="s">
        <v>4295</v>
      </c>
      <c r="B820" s="271">
        <v>0</v>
      </c>
      <c r="C820">
        <v>0</v>
      </c>
    </row>
    <row r="821" spans="1:3" s="517" customFormat="1" x14ac:dyDescent="0.35">
      <c r="A821" s="517" t="s">
        <v>4296</v>
      </c>
      <c r="B821" s="271">
        <v>0</v>
      </c>
      <c r="C821" s="517">
        <v>0</v>
      </c>
    </row>
    <row r="822" spans="1:3" s="517" customFormat="1" x14ac:dyDescent="0.35">
      <c r="A822" s="517" t="s">
        <v>4297</v>
      </c>
      <c r="B822" s="271">
        <v>0</v>
      </c>
      <c r="C822" s="517">
        <v>0</v>
      </c>
    </row>
    <row r="823" spans="1:3" x14ac:dyDescent="0.35">
      <c r="A823" s="517" t="s">
        <v>4298</v>
      </c>
      <c r="B823" s="271">
        <v>0</v>
      </c>
      <c r="C823">
        <v>0</v>
      </c>
    </row>
    <row r="824" spans="1:3" x14ac:dyDescent="0.35">
      <c r="A824" s="517" t="s">
        <v>4299</v>
      </c>
      <c r="B824" s="271">
        <v>0</v>
      </c>
      <c r="C824">
        <v>0</v>
      </c>
    </row>
    <row r="825" spans="1:3" x14ac:dyDescent="0.35">
      <c r="A825" s="517" t="s">
        <v>4300</v>
      </c>
      <c r="B825" s="271">
        <v>0</v>
      </c>
      <c r="C825">
        <v>0</v>
      </c>
    </row>
    <row r="826" spans="1:3" x14ac:dyDescent="0.35">
      <c r="A826" s="517" t="s">
        <v>4301</v>
      </c>
      <c r="B826" s="271">
        <v>0</v>
      </c>
      <c r="C826">
        <v>0</v>
      </c>
    </row>
    <row r="827" spans="1:3" x14ac:dyDescent="0.35">
      <c r="A827" s="517" t="s">
        <v>4302</v>
      </c>
      <c r="B827" s="271">
        <v>0</v>
      </c>
      <c r="C827">
        <v>0</v>
      </c>
    </row>
    <row r="828" spans="1:3" x14ac:dyDescent="0.35">
      <c r="A828" s="517" t="s">
        <v>4291</v>
      </c>
      <c r="B828" s="271">
        <v>0</v>
      </c>
      <c r="C828">
        <v>0</v>
      </c>
    </row>
    <row r="829" spans="1:3" x14ac:dyDescent="0.35">
      <c r="A829" s="517" t="s">
        <v>4292</v>
      </c>
      <c r="B829">
        <v>0</v>
      </c>
      <c r="C829">
        <v>0</v>
      </c>
    </row>
    <row r="830" spans="1:3" x14ac:dyDescent="0.35">
      <c r="A830" s="517" t="s">
        <v>4293</v>
      </c>
      <c r="B830">
        <v>0</v>
      </c>
      <c r="C830">
        <v>0</v>
      </c>
    </row>
    <row r="831" spans="1:3" x14ac:dyDescent="0.35">
      <c r="A831" s="517" t="s">
        <v>4315</v>
      </c>
      <c r="B831">
        <v>0</v>
      </c>
      <c r="C831">
        <v>0</v>
      </c>
    </row>
    <row r="832" spans="1:3" x14ac:dyDescent="0.35">
      <c r="A832" s="517" t="s">
        <v>4316</v>
      </c>
      <c r="B832">
        <v>0</v>
      </c>
      <c r="C832">
        <v>0</v>
      </c>
    </row>
    <row r="833" spans="1:3" x14ac:dyDescent="0.35">
      <c r="A833" s="517" t="s">
        <v>4317</v>
      </c>
      <c r="B833">
        <v>0</v>
      </c>
      <c r="C833">
        <v>0</v>
      </c>
    </row>
    <row r="834" spans="1:3" x14ac:dyDescent="0.35">
      <c r="A834" s="517" t="s">
        <v>4318</v>
      </c>
      <c r="B834">
        <v>0</v>
      </c>
      <c r="C834">
        <v>0</v>
      </c>
    </row>
    <row r="835" spans="1:3" x14ac:dyDescent="0.35">
      <c r="A835" s="517" t="s">
        <v>4319</v>
      </c>
      <c r="B835">
        <v>0</v>
      </c>
      <c r="C835">
        <v>0</v>
      </c>
    </row>
    <row r="836" spans="1:3" x14ac:dyDescent="0.35">
      <c r="A836" s="517" t="s">
        <v>4320</v>
      </c>
      <c r="B836">
        <v>0</v>
      </c>
      <c r="C836">
        <v>0</v>
      </c>
    </row>
    <row r="837" spans="1:3" x14ac:dyDescent="0.35">
      <c r="A837" s="517" t="s">
        <v>4321</v>
      </c>
      <c r="B837">
        <v>0</v>
      </c>
      <c r="C837">
        <v>0</v>
      </c>
    </row>
    <row r="838" spans="1:3" x14ac:dyDescent="0.35">
      <c r="A838" s="517" t="s">
        <v>4322</v>
      </c>
      <c r="B838">
        <v>0</v>
      </c>
      <c r="C838">
        <v>0</v>
      </c>
    </row>
    <row r="839" spans="1:3" x14ac:dyDescent="0.35">
      <c r="A839" s="517" t="s">
        <v>4323</v>
      </c>
      <c r="B839">
        <v>0</v>
      </c>
      <c r="C839">
        <v>0</v>
      </c>
    </row>
    <row r="840" spans="1:3" x14ac:dyDescent="0.35">
      <c r="A840" s="517" t="s">
        <v>4324</v>
      </c>
      <c r="B840" t="s">
        <v>690</v>
      </c>
      <c r="C840" t="s">
        <v>690</v>
      </c>
    </row>
    <row r="841" spans="1:3" x14ac:dyDescent="0.35">
      <c r="A841" s="517" t="s">
        <v>4326</v>
      </c>
      <c r="B841">
        <v>2</v>
      </c>
      <c r="C841">
        <v>2</v>
      </c>
    </row>
    <row r="842" spans="1:3" x14ac:dyDescent="0.35">
      <c r="A842" s="517" t="s">
        <v>4327</v>
      </c>
      <c r="B842">
        <v>2</v>
      </c>
      <c r="C842">
        <v>2</v>
      </c>
    </row>
    <row r="843" spans="1:3" x14ac:dyDescent="0.35">
      <c r="A843" s="517" t="s">
        <v>4328</v>
      </c>
      <c r="B843">
        <v>5</v>
      </c>
      <c r="C843">
        <v>5</v>
      </c>
    </row>
    <row r="844" spans="1:3" x14ac:dyDescent="0.35">
      <c r="A844" s="517" t="s">
        <v>4329</v>
      </c>
      <c r="B844">
        <v>6</v>
      </c>
      <c r="C844">
        <v>6</v>
      </c>
    </row>
    <row r="845" spans="1:3" x14ac:dyDescent="0.35">
      <c r="A845" s="517" t="s">
        <v>4330</v>
      </c>
      <c r="B845">
        <v>2</v>
      </c>
      <c r="C845">
        <v>2</v>
      </c>
    </row>
    <row r="846" spans="1:3" x14ac:dyDescent="0.35">
      <c r="A846" s="517" t="s">
        <v>4331</v>
      </c>
      <c r="B846">
        <v>2</v>
      </c>
      <c r="C846">
        <v>2</v>
      </c>
    </row>
    <row r="847" spans="1:3" x14ac:dyDescent="0.35">
      <c r="A847" s="517" t="s">
        <v>4332</v>
      </c>
      <c r="B847">
        <v>3</v>
      </c>
      <c r="C847">
        <v>3</v>
      </c>
    </row>
    <row r="848" spans="1:3" x14ac:dyDescent="0.35">
      <c r="A848" s="517" t="s">
        <v>4333</v>
      </c>
      <c r="B848">
        <v>4</v>
      </c>
      <c r="C848">
        <v>4</v>
      </c>
    </row>
    <row r="849" spans="1:3" x14ac:dyDescent="0.35">
      <c r="A849" s="517" t="s">
        <v>4334</v>
      </c>
      <c r="B849" s="517">
        <v>5</v>
      </c>
      <c r="C849">
        <v>5</v>
      </c>
    </row>
    <row r="850" spans="1:3" x14ac:dyDescent="0.35">
      <c r="A850" s="517" t="s">
        <v>4344</v>
      </c>
      <c r="B850" s="517">
        <v>5000</v>
      </c>
      <c r="C850">
        <v>5000</v>
      </c>
    </row>
    <row r="851" spans="1:3" x14ac:dyDescent="0.35">
      <c r="A851" s="517" t="s">
        <v>4345</v>
      </c>
      <c r="B851" s="517">
        <v>5000</v>
      </c>
      <c r="C851">
        <v>5000</v>
      </c>
    </row>
    <row r="852" spans="1:3" x14ac:dyDescent="0.35">
      <c r="A852" s="517" t="s">
        <v>4116</v>
      </c>
      <c r="B852" s="517">
        <v>2</v>
      </c>
      <c r="C852">
        <v>2</v>
      </c>
    </row>
    <row r="853" spans="1:3" x14ac:dyDescent="0.35">
      <c r="A853" s="517" t="s">
        <v>4117</v>
      </c>
      <c r="B853" s="517">
        <v>0</v>
      </c>
      <c r="C853">
        <v>0</v>
      </c>
    </row>
    <row r="854" spans="1:3" x14ac:dyDescent="0.35">
      <c r="A854" s="517" t="s">
        <v>4122</v>
      </c>
      <c r="B854" s="517">
        <v>0</v>
      </c>
      <c r="C854">
        <v>0</v>
      </c>
    </row>
    <row r="855" spans="1:3" x14ac:dyDescent="0.35">
      <c r="A855" s="517" t="s">
        <v>4123</v>
      </c>
      <c r="B855" s="517">
        <v>0</v>
      </c>
      <c r="C855">
        <v>0</v>
      </c>
    </row>
    <row r="856" spans="1:3" x14ac:dyDescent="0.35">
      <c r="A856" s="517" t="s">
        <v>4124</v>
      </c>
      <c r="B856" s="517">
        <v>0</v>
      </c>
      <c r="C856">
        <v>0</v>
      </c>
    </row>
    <row r="857" spans="1:3" x14ac:dyDescent="0.35">
      <c r="A857" s="517" t="s">
        <v>4125</v>
      </c>
      <c r="B857" s="517">
        <v>0</v>
      </c>
      <c r="C857">
        <v>0</v>
      </c>
    </row>
    <row r="858" spans="1:3" x14ac:dyDescent="0.35">
      <c r="A858" s="517" t="s">
        <v>4126</v>
      </c>
      <c r="B858" s="517">
        <v>0</v>
      </c>
      <c r="C858">
        <v>0</v>
      </c>
    </row>
    <row r="859" spans="1:3" x14ac:dyDescent="0.35">
      <c r="A859" s="517" t="s">
        <v>4127</v>
      </c>
      <c r="B859">
        <v>0</v>
      </c>
      <c r="C859">
        <v>0</v>
      </c>
    </row>
    <row r="860" spans="1:3" x14ac:dyDescent="0.35">
      <c r="A860" s="517" t="s">
        <v>4128</v>
      </c>
      <c r="B860">
        <v>0</v>
      </c>
      <c r="C860">
        <v>0</v>
      </c>
    </row>
    <row r="861" spans="1:3" x14ac:dyDescent="0.35">
      <c r="A861" s="517" t="s">
        <v>4129</v>
      </c>
      <c r="B861">
        <v>0</v>
      </c>
      <c r="C861">
        <v>0</v>
      </c>
    </row>
    <row r="862" spans="1:3" x14ac:dyDescent="0.35">
      <c r="A862" s="517" t="s">
        <v>4118</v>
      </c>
      <c r="B862" t="b">
        <v>0</v>
      </c>
      <c r="C862" t="b">
        <v>0</v>
      </c>
    </row>
    <row r="863" spans="1:3" x14ac:dyDescent="0.35">
      <c r="A863" s="517" t="s">
        <v>4119</v>
      </c>
      <c r="B863" t="b">
        <v>0</v>
      </c>
      <c r="C863" t="b">
        <v>0</v>
      </c>
    </row>
    <row r="864" spans="1:3" x14ac:dyDescent="0.35">
      <c r="A864" s="517" t="s">
        <v>4120</v>
      </c>
      <c r="B864" t="b">
        <v>0</v>
      </c>
      <c r="C864" t="b">
        <v>0</v>
      </c>
    </row>
    <row r="865" spans="1:3" x14ac:dyDescent="0.35">
      <c r="A865" s="517" t="s">
        <v>4121</v>
      </c>
      <c r="B865" t="b">
        <v>0</v>
      </c>
      <c r="C865" t="b">
        <v>0</v>
      </c>
    </row>
    <row r="866" spans="1:3" x14ac:dyDescent="0.35">
      <c r="A866" s="517" t="s">
        <v>4346</v>
      </c>
      <c r="B866">
        <v>7</v>
      </c>
      <c r="C866">
        <v>7</v>
      </c>
    </row>
    <row r="867" spans="1:3" x14ac:dyDescent="0.35">
      <c r="A867" s="517" t="s">
        <v>4348</v>
      </c>
      <c r="C867" t="s">
        <v>664</v>
      </c>
    </row>
    <row r="868" spans="1:3" x14ac:dyDescent="0.35">
      <c r="A868" s="517" t="s">
        <v>4350</v>
      </c>
    </row>
    <row r="869" spans="1:3" x14ac:dyDescent="0.35">
      <c r="A869" s="517" t="s">
        <v>4351</v>
      </c>
    </row>
    <row r="870" spans="1:3" x14ac:dyDescent="0.35">
      <c r="A870" s="517" t="s">
        <v>4352</v>
      </c>
    </row>
    <row r="871" spans="1:3" x14ac:dyDescent="0.35">
      <c r="A871" s="517" t="s">
        <v>4353</v>
      </c>
    </row>
    <row r="872" spans="1:3" x14ac:dyDescent="0.35">
      <c r="A872" s="517" t="s">
        <v>4354</v>
      </c>
    </row>
    <row r="873" spans="1:3" x14ac:dyDescent="0.35">
      <c r="A873" s="517" t="s">
        <v>4355</v>
      </c>
    </row>
    <row r="874" spans="1:3" x14ac:dyDescent="0.35">
      <c r="A874" s="517" t="s">
        <v>4356</v>
      </c>
    </row>
    <row r="875" spans="1:3" s="517" customFormat="1" x14ac:dyDescent="0.35">
      <c r="A875" s="517" t="s">
        <v>4357</v>
      </c>
      <c r="B875"/>
    </row>
    <row r="876" spans="1:3" x14ac:dyDescent="0.35">
      <c r="A876" s="517" t="s">
        <v>4358</v>
      </c>
    </row>
    <row r="877" spans="1:3" x14ac:dyDescent="0.35">
      <c r="A877" s="517" t="s">
        <v>4359</v>
      </c>
    </row>
    <row r="878" spans="1:3" x14ac:dyDescent="0.35">
      <c r="A878" s="517" t="s">
        <v>4360</v>
      </c>
    </row>
    <row r="879" spans="1:3" x14ac:dyDescent="0.35">
      <c r="A879" s="517" t="s">
        <v>4361</v>
      </c>
    </row>
    <row r="880" spans="1:3" x14ac:dyDescent="0.35">
      <c r="A880" s="517" t="s">
        <v>4362</v>
      </c>
    </row>
    <row r="881" spans="1:2" x14ac:dyDescent="0.35">
      <c r="A881" s="517" t="s">
        <v>4363</v>
      </c>
    </row>
    <row r="882" spans="1:2" x14ac:dyDescent="0.35">
      <c r="A882" s="517" t="s">
        <v>4364</v>
      </c>
    </row>
    <row r="883" spans="1:2" x14ac:dyDescent="0.35">
      <c r="A883" s="517" t="s">
        <v>4365</v>
      </c>
    </row>
    <row r="884" spans="1:2" x14ac:dyDescent="0.35">
      <c r="A884" s="517" t="s">
        <v>4366</v>
      </c>
    </row>
    <row r="885" spans="1:2" x14ac:dyDescent="0.35">
      <c r="A885" s="517" t="s">
        <v>4367</v>
      </c>
    </row>
    <row r="886" spans="1:2" x14ac:dyDescent="0.35">
      <c r="A886" s="517" t="s">
        <v>4368</v>
      </c>
    </row>
    <row r="887" spans="1:2" s="517" customFormat="1" x14ac:dyDescent="0.35">
      <c r="A887" s="517" t="s">
        <v>4369</v>
      </c>
      <c r="B887"/>
    </row>
    <row r="888" spans="1:2" x14ac:dyDescent="0.35">
      <c r="A888" s="517" t="s">
        <v>4370</v>
      </c>
    </row>
    <row r="889" spans="1:2" x14ac:dyDescent="0.35">
      <c r="A889" s="517" t="s">
        <v>4371</v>
      </c>
    </row>
    <row r="890" spans="1:2" x14ac:dyDescent="0.35">
      <c r="A890" s="517" t="s">
        <v>4372</v>
      </c>
    </row>
    <row r="891" spans="1:2" x14ac:dyDescent="0.35">
      <c r="A891" s="517" t="s">
        <v>4373</v>
      </c>
    </row>
    <row r="892" spans="1:2" x14ac:dyDescent="0.35">
      <c r="A892" s="517" t="s">
        <v>4374</v>
      </c>
    </row>
    <row r="893" spans="1:2" x14ac:dyDescent="0.35">
      <c r="A893" s="517" t="s">
        <v>4375</v>
      </c>
    </row>
    <row r="894" spans="1:2" x14ac:dyDescent="0.35">
      <c r="A894" s="517" t="s">
        <v>4376</v>
      </c>
    </row>
    <row r="895" spans="1:2" x14ac:dyDescent="0.35">
      <c r="A895" s="517" t="s">
        <v>4377</v>
      </c>
    </row>
    <row r="896" spans="1:2" x14ac:dyDescent="0.35">
      <c r="A896" s="517" t="s">
        <v>4378</v>
      </c>
    </row>
    <row r="897" spans="1:1" x14ac:dyDescent="0.35">
      <c r="A897" s="517" t="s">
        <v>4379</v>
      </c>
    </row>
    <row r="898" spans="1:1" x14ac:dyDescent="0.35">
      <c r="A898" s="517" t="s">
        <v>4380</v>
      </c>
    </row>
    <row r="899" spans="1:1" x14ac:dyDescent="0.35">
      <c r="A899" s="517" t="s">
        <v>4381</v>
      </c>
    </row>
    <row r="900" spans="1:1" x14ac:dyDescent="0.35">
      <c r="A900" s="517" t="s">
        <v>4382</v>
      </c>
    </row>
    <row r="901" spans="1:1" x14ac:dyDescent="0.35">
      <c r="A901" s="517" t="s">
        <v>4383</v>
      </c>
    </row>
    <row r="902" spans="1:1" x14ac:dyDescent="0.35">
      <c r="A902" s="517" t="s">
        <v>4384</v>
      </c>
    </row>
    <row r="903" spans="1:1" x14ac:dyDescent="0.35">
      <c r="A903" s="517" t="s">
        <v>4385</v>
      </c>
    </row>
    <row r="904" spans="1:1" x14ac:dyDescent="0.35">
      <c r="A904" s="517" t="s">
        <v>4386</v>
      </c>
    </row>
    <row r="905" spans="1:1" x14ac:dyDescent="0.35">
      <c r="A905" s="517" t="s">
        <v>4387</v>
      </c>
    </row>
    <row r="906" spans="1:1" x14ac:dyDescent="0.35">
      <c r="A906" s="517" t="s">
        <v>4388</v>
      </c>
    </row>
    <row r="907" spans="1:1" x14ac:dyDescent="0.35">
      <c r="A907" s="517" t="s">
        <v>4389</v>
      </c>
    </row>
    <row r="908" spans="1:1" x14ac:dyDescent="0.35">
      <c r="A908" s="517" t="s">
        <v>4390</v>
      </c>
    </row>
    <row r="909" spans="1:1" x14ac:dyDescent="0.35">
      <c r="A909" s="517" t="s">
        <v>4391</v>
      </c>
    </row>
    <row r="910" spans="1:1" x14ac:dyDescent="0.35">
      <c r="A910" s="517" t="s">
        <v>4392</v>
      </c>
    </row>
    <row r="911" spans="1:1" x14ac:dyDescent="0.35">
      <c r="A911" s="517" t="s">
        <v>4393</v>
      </c>
    </row>
    <row r="912" spans="1:1" x14ac:dyDescent="0.35">
      <c r="A912" s="517" t="s">
        <v>4394</v>
      </c>
    </row>
    <row r="913" spans="1:1" x14ac:dyDescent="0.35">
      <c r="A913" s="517" t="s">
        <v>4395</v>
      </c>
    </row>
    <row r="914" spans="1:1" x14ac:dyDescent="0.35">
      <c r="A914" s="517" t="s">
        <v>4396</v>
      </c>
    </row>
    <row r="915" spans="1:1" x14ac:dyDescent="0.35">
      <c r="A915" s="517" t="s">
        <v>4397</v>
      </c>
    </row>
    <row r="916" spans="1:1" x14ac:dyDescent="0.35">
      <c r="A916" s="517" t="s">
        <v>4398</v>
      </c>
    </row>
    <row r="917" spans="1:1" x14ac:dyDescent="0.35">
      <c r="A917" s="517" t="s">
        <v>4399</v>
      </c>
    </row>
    <row r="918" spans="1:1" x14ac:dyDescent="0.35">
      <c r="A918" s="517" t="s">
        <v>4400</v>
      </c>
    </row>
    <row r="919" spans="1:1" x14ac:dyDescent="0.35">
      <c r="A919" s="517" t="s">
        <v>4401</v>
      </c>
    </row>
    <row r="920" spans="1:1" x14ac:dyDescent="0.35">
      <c r="A920" s="517" t="s">
        <v>4402</v>
      </c>
    </row>
    <row r="921" spans="1:1" x14ac:dyDescent="0.35">
      <c r="A921" s="517" t="s">
        <v>4403</v>
      </c>
    </row>
    <row r="922" spans="1:1" x14ac:dyDescent="0.35">
      <c r="A922" s="517" t="s">
        <v>4404</v>
      </c>
    </row>
    <row r="923" spans="1:1" x14ac:dyDescent="0.35">
      <c r="A923" s="517" t="s">
        <v>4405</v>
      </c>
    </row>
    <row r="924" spans="1:1" x14ac:dyDescent="0.35">
      <c r="A924" s="517" t="s">
        <v>4406</v>
      </c>
    </row>
    <row r="925" spans="1:1" x14ac:dyDescent="0.35">
      <c r="A925" s="517" t="s">
        <v>4407</v>
      </c>
    </row>
    <row r="926" spans="1:1" x14ac:dyDescent="0.35">
      <c r="A926" s="517" t="s">
        <v>4408</v>
      </c>
    </row>
    <row r="927" spans="1:1" x14ac:dyDescent="0.35">
      <c r="A927" s="517" t="s">
        <v>4409</v>
      </c>
    </row>
    <row r="928" spans="1:1" x14ac:dyDescent="0.35">
      <c r="A928" s="517" t="s">
        <v>4410</v>
      </c>
    </row>
    <row r="929" spans="1:2" x14ac:dyDescent="0.35">
      <c r="A929" s="517" t="s">
        <v>4411</v>
      </c>
    </row>
    <row r="930" spans="1:2" x14ac:dyDescent="0.35">
      <c r="A930" s="517" t="s">
        <v>4412</v>
      </c>
    </row>
    <row r="931" spans="1:2" x14ac:dyDescent="0.35">
      <c r="A931" s="517" t="s">
        <v>4413</v>
      </c>
    </row>
    <row r="932" spans="1:2" x14ac:dyDescent="0.35">
      <c r="A932" s="517" t="s">
        <v>4414</v>
      </c>
    </row>
    <row r="933" spans="1:2" x14ac:dyDescent="0.35">
      <c r="A933" s="517" t="s">
        <v>4415</v>
      </c>
    </row>
    <row r="934" spans="1:2" x14ac:dyDescent="0.35">
      <c r="A934" s="517" t="s">
        <v>4416</v>
      </c>
    </row>
    <row r="935" spans="1:2" x14ac:dyDescent="0.35">
      <c r="A935" s="517" t="s">
        <v>4417</v>
      </c>
    </row>
    <row r="936" spans="1:2" s="517" customFormat="1" x14ac:dyDescent="0.35">
      <c r="A936" s="517" t="s">
        <v>4418</v>
      </c>
      <c r="B936"/>
    </row>
    <row r="937" spans="1:2" x14ac:dyDescent="0.35">
      <c r="A937" s="517" t="s">
        <v>4419</v>
      </c>
    </row>
    <row r="938" spans="1:2" x14ac:dyDescent="0.35">
      <c r="A938" s="517" t="s">
        <v>4420</v>
      </c>
    </row>
    <row r="939" spans="1:2" x14ac:dyDescent="0.35">
      <c r="A939" s="517" t="s">
        <v>4421</v>
      </c>
    </row>
    <row r="940" spans="1:2" x14ac:dyDescent="0.35">
      <c r="A940" s="517" t="s">
        <v>4422</v>
      </c>
    </row>
    <row r="941" spans="1:2" x14ac:dyDescent="0.35">
      <c r="A941" s="517" t="s">
        <v>4423</v>
      </c>
    </row>
    <row r="942" spans="1:2" x14ac:dyDescent="0.35">
      <c r="A942" s="517" t="s">
        <v>4424</v>
      </c>
      <c r="B942" s="517"/>
    </row>
    <row r="943" spans="1:2" x14ac:dyDescent="0.35">
      <c r="A943" s="517" t="s">
        <v>4425</v>
      </c>
    </row>
    <row r="944" spans="1:2" x14ac:dyDescent="0.35">
      <c r="A944" s="517" t="s">
        <v>4426</v>
      </c>
    </row>
    <row r="945" spans="1:2" x14ac:dyDescent="0.35">
      <c r="A945" s="517" t="s">
        <v>4427</v>
      </c>
      <c r="B945" s="517"/>
    </row>
    <row r="946" spans="1:2" x14ac:dyDescent="0.35">
      <c r="A946" s="517" t="s">
        <v>4428</v>
      </c>
      <c r="B946" s="517"/>
    </row>
    <row r="947" spans="1:2" x14ac:dyDescent="0.35">
      <c r="A947" s="517" t="s">
        <v>4429</v>
      </c>
    </row>
    <row r="948" spans="1:2" x14ac:dyDescent="0.35">
      <c r="A948" s="517" t="s">
        <v>4430</v>
      </c>
    </row>
    <row r="949" spans="1:2" x14ac:dyDescent="0.35">
      <c r="A949" s="517" t="s">
        <v>4431</v>
      </c>
    </row>
    <row r="950" spans="1:2" x14ac:dyDescent="0.35">
      <c r="A950" s="517" t="s">
        <v>4432</v>
      </c>
    </row>
    <row r="951" spans="1:2" x14ac:dyDescent="0.35">
      <c r="A951" s="517" t="s">
        <v>4433</v>
      </c>
      <c r="B951" s="517"/>
    </row>
    <row r="952" spans="1:2" x14ac:dyDescent="0.35">
      <c r="A952" s="517" t="s">
        <v>4434</v>
      </c>
      <c r="B952" s="517"/>
    </row>
    <row r="953" spans="1:2" x14ac:dyDescent="0.35">
      <c r="A953" s="517" t="s">
        <v>4435</v>
      </c>
    </row>
    <row r="954" spans="1:2" x14ac:dyDescent="0.35">
      <c r="A954" s="517" t="s">
        <v>4436</v>
      </c>
    </row>
    <row r="955" spans="1:2" x14ac:dyDescent="0.35">
      <c r="A955" s="517" t="s">
        <v>4437</v>
      </c>
    </row>
    <row r="956" spans="1:2" x14ac:dyDescent="0.35">
      <c r="A956" s="517" t="s">
        <v>4438</v>
      </c>
    </row>
    <row r="957" spans="1:2" x14ac:dyDescent="0.35">
      <c r="A957" s="517" t="s">
        <v>4439</v>
      </c>
    </row>
    <row r="958" spans="1:2" x14ac:dyDescent="0.35">
      <c r="A958" s="517" t="s">
        <v>4440</v>
      </c>
    </row>
    <row r="959" spans="1:2" x14ac:dyDescent="0.35">
      <c r="A959" s="517" t="s">
        <v>4441</v>
      </c>
    </row>
    <row r="960" spans="1:2" x14ac:dyDescent="0.35">
      <c r="A960" s="517" t="s">
        <v>4442</v>
      </c>
    </row>
    <row r="961" spans="1:1" x14ac:dyDescent="0.35">
      <c r="A961" s="517" t="s">
        <v>4443</v>
      </c>
    </row>
    <row r="962" spans="1:1" x14ac:dyDescent="0.35">
      <c r="A962" s="517" t="s">
        <v>4444</v>
      </c>
    </row>
    <row r="963" spans="1:1" x14ac:dyDescent="0.35">
      <c r="A963" s="517" t="s">
        <v>4445</v>
      </c>
    </row>
    <row r="964" spans="1:1" x14ac:dyDescent="0.35">
      <c r="A964" s="517" t="s">
        <v>4446</v>
      </c>
    </row>
    <row r="965" spans="1:1" x14ac:dyDescent="0.35">
      <c r="A965" s="517" t="s">
        <v>4447</v>
      </c>
    </row>
    <row r="966" spans="1:1" x14ac:dyDescent="0.35">
      <c r="A966" s="517" t="s">
        <v>4448</v>
      </c>
    </row>
    <row r="967" spans="1:1" x14ac:dyDescent="0.35">
      <c r="A967" s="517" t="s">
        <v>4449</v>
      </c>
    </row>
    <row r="968" spans="1:1" x14ac:dyDescent="0.35">
      <c r="A968" s="517" t="s">
        <v>4450</v>
      </c>
    </row>
    <row r="969" spans="1:1" x14ac:dyDescent="0.35">
      <c r="A969" s="517" t="s">
        <v>4451</v>
      </c>
    </row>
    <row r="970" spans="1:1" x14ac:dyDescent="0.35">
      <c r="A970" s="517" t="s">
        <v>4452</v>
      </c>
    </row>
    <row r="971" spans="1:1" x14ac:dyDescent="0.35">
      <c r="A971" s="517" t="s">
        <v>4453</v>
      </c>
    </row>
    <row r="972" spans="1:1" x14ac:dyDescent="0.35">
      <c r="A972" s="517" t="s">
        <v>4454</v>
      </c>
    </row>
    <row r="973" spans="1:1" x14ac:dyDescent="0.35">
      <c r="A973" s="517" t="s">
        <v>4455</v>
      </c>
    </row>
    <row r="974" spans="1:1" x14ac:dyDescent="0.35">
      <c r="A974" s="517" t="s">
        <v>4456</v>
      </c>
    </row>
    <row r="975" spans="1:1" x14ac:dyDescent="0.35">
      <c r="A975" s="517" t="s">
        <v>4457</v>
      </c>
    </row>
    <row r="976" spans="1:1" x14ac:dyDescent="0.35">
      <c r="A976" s="517" t="s">
        <v>4458</v>
      </c>
    </row>
    <row r="977" spans="1:1" x14ac:dyDescent="0.35">
      <c r="A977" s="517" t="s">
        <v>4459</v>
      </c>
    </row>
    <row r="978" spans="1:1" x14ac:dyDescent="0.35">
      <c r="A978" s="517" t="s">
        <v>4460</v>
      </c>
    </row>
    <row r="979" spans="1:1" x14ac:dyDescent="0.35">
      <c r="A979" s="517" t="s">
        <v>4461</v>
      </c>
    </row>
    <row r="980" spans="1:1" x14ac:dyDescent="0.35">
      <c r="A980" s="517" t="s">
        <v>4462</v>
      </c>
    </row>
    <row r="981" spans="1:1" x14ac:dyDescent="0.35">
      <c r="A981" s="517" t="s">
        <v>4463</v>
      </c>
    </row>
    <row r="982" spans="1:1" x14ac:dyDescent="0.35">
      <c r="A982" s="517" t="s">
        <v>4464</v>
      </c>
    </row>
    <row r="983" spans="1:1" x14ac:dyDescent="0.35">
      <c r="A983" s="517" t="s">
        <v>4465</v>
      </c>
    </row>
    <row r="984" spans="1:1" x14ac:dyDescent="0.35">
      <c r="A984" s="517" t="s">
        <v>4466</v>
      </c>
    </row>
    <row r="985" spans="1:1" x14ac:dyDescent="0.35">
      <c r="A985" s="517" t="s">
        <v>4467</v>
      </c>
    </row>
    <row r="986" spans="1:1" x14ac:dyDescent="0.35">
      <c r="A986" s="517" t="s">
        <v>4468</v>
      </c>
    </row>
    <row r="987" spans="1:1" x14ac:dyDescent="0.35">
      <c r="A987" s="517" t="s">
        <v>4469</v>
      </c>
    </row>
    <row r="988" spans="1:1" x14ac:dyDescent="0.35">
      <c r="A988" s="517" t="s">
        <v>4470</v>
      </c>
    </row>
    <row r="989" spans="1:1" x14ac:dyDescent="0.35">
      <c r="A989" s="517" t="s">
        <v>4471</v>
      </c>
    </row>
    <row r="990" spans="1:1" x14ac:dyDescent="0.35">
      <c r="A990" s="517" t="s">
        <v>4472</v>
      </c>
    </row>
    <row r="991" spans="1:1" x14ac:dyDescent="0.35">
      <c r="A991" s="517" t="s">
        <v>4473</v>
      </c>
    </row>
    <row r="992" spans="1:1" x14ac:dyDescent="0.35">
      <c r="A992" s="517" t="s">
        <v>4474</v>
      </c>
    </row>
    <row r="993" spans="1:2" x14ac:dyDescent="0.35">
      <c r="A993" s="517" t="s">
        <v>4475</v>
      </c>
    </row>
    <row r="994" spans="1:2" x14ac:dyDescent="0.35">
      <c r="A994" s="517" t="s">
        <v>4476</v>
      </c>
    </row>
    <row r="995" spans="1:2" x14ac:dyDescent="0.35">
      <c r="A995" s="517" t="s">
        <v>4477</v>
      </c>
    </row>
    <row r="996" spans="1:2" x14ac:dyDescent="0.35">
      <c r="A996" s="517" t="s">
        <v>4478</v>
      </c>
    </row>
    <row r="997" spans="1:2" x14ac:dyDescent="0.35">
      <c r="A997" s="517" t="s">
        <v>4479</v>
      </c>
    </row>
    <row r="998" spans="1:2" x14ac:dyDescent="0.35">
      <c r="A998" s="517" t="s">
        <v>4480</v>
      </c>
    </row>
    <row r="999" spans="1:2" x14ac:dyDescent="0.35">
      <c r="A999" s="517" t="s">
        <v>4481</v>
      </c>
    </row>
    <row r="1000" spans="1:2" x14ac:dyDescent="0.35">
      <c r="A1000" s="517" t="s">
        <v>4482</v>
      </c>
    </row>
    <row r="1001" spans="1:2" x14ac:dyDescent="0.35">
      <c r="A1001" s="517" t="s">
        <v>4483</v>
      </c>
    </row>
    <row r="1002" spans="1:2" x14ac:dyDescent="0.35">
      <c r="A1002" s="517" t="s">
        <v>4484</v>
      </c>
    </row>
    <row r="1003" spans="1:2" x14ac:dyDescent="0.35">
      <c r="A1003" s="517" t="s">
        <v>4485</v>
      </c>
    </row>
    <row r="1004" spans="1:2" x14ac:dyDescent="0.35">
      <c r="A1004" s="517" t="s">
        <v>4486</v>
      </c>
    </row>
    <row r="1005" spans="1:2" x14ac:dyDescent="0.35">
      <c r="A1005" s="517" t="s">
        <v>4487</v>
      </c>
      <c r="B1005" s="517"/>
    </row>
    <row r="1006" spans="1:2" x14ac:dyDescent="0.35">
      <c r="A1006" s="517" t="s">
        <v>4488</v>
      </c>
    </row>
    <row r="1007" spans="1:2" x14ac:dyDescent="0.35">
      <c r="A1007" s="517" t="s">
        <v>4489</v>
      </c>
    </row>
    <row r="1008" spans="1:2" x14ac:dyDescent="0.35">
      <c r="A1008" s="517" t="s">
        <v>4490</v>
      </c>
    </row>
    <row r="1009" spans="1:2" x14ac:dyDescent="0.35">
      <c r="A1009" s="517" t="s">
        <v>4491</v>
      </c>
    </row>
    <row r="1010" spans="1:2" x14ac:dyDescent="0.35">
      <c r="A1010" s="517" t="s">
        <v>4492</v>
      </c>
    </row>
    <row r="1011" spans="1:2" x14ac:dyDescent="0.35">
      <c r="A1011" s="517" t="s">
        <v>4493</v>
      </c>
    </row>
    <row r="1012" spans="1:2" x14ac:dyDescent="0.35">
      <c r="A1012" s="517" t="s">
        <v>4494</v>
      </c>
    </row>
    <row r="1013" spans="1:2" x14ac:dyDescent="0.35">
      <c r="A1013" s="517" t="s">
        <v>4495</v>
      </c>
    </row>
    <row r="1014" spans="1:2" x14ac:dyDescent="0.35">
      <c r="A1014" s="517" t="s">
        <v>4496</v>
      </c>
    </row>
    <row r="1015" spans="1:2" x14ac:dyDescent="0.35">
      <c r="A1015" s="517" t="s">
        <v>4497</v>
      </c>
    </row>
    <row r="1016" spans="1:2" x14ac:dyDescent="0.35">
      <c r="A1016" s="517" t="s">
        <v>4498</v>
      </c>
    </row>
    <row r="1017" spans="1:2" x14ac:dyDescent="0.35">
      <c r="A1017" s="517" t="s">
        <v>4499</v>
      </c>
      <c r="B1017" s="517"/>
    </row>
    <row r="1018" spans="1:2" x14ac:dyDescent="0.35">
      <c r="A1018" s="517" t="s">
        <v>4500</v>
      </c>
    </row>
    <row r="1019" spans="1:2" x14ac:dyDescent="0.35">
      <c r="A1019" s="517" t="s">
        <v>4501</v>
      </c>
    </row>
    <row r="1020" spans="1:2" x14ac:dyDescent="0.35">
      <c r="A1020" s="517" t="s">
        <v>4502</v>
      </c>
    </row>
    <row r="1021" spans="1:2" x14ac:dyDescent="0.35">
      <c r="A1021" s="517" t="s">
        <v>4503</v>
      </c>
    </row>
    <row r="1022" spans="1:2" x14ac:dyDescent="0.35">
      <c r="A1022" s="517" t="s">
        <v>4504</v>
      </c>
    </row>
    <row r="1023" spans="1:2" x14ac:dyDescent="0.35">
      <c r="A1023" s="517" t="s">
        <v>4505</v>
      </c>
    </row>
    <row r="1024" spans="1:2" x14ac:dyDescent="0.35">
      <c r="A1024" s="517" t="s">
        <v>4506</v>
      </c>
    </row>
    <row r="1025" spans="1:1" x14ac:dyDescent="0.35">
      <c r="A1025" s="517" t="s">
        <v>4507</v>
      </c>
    </row>
    <row r="1026" spans="1:1" x14ac:dyDescent="0.35">
      <c r="A1026" s="517" t="s">
        <v>4508</v>
      </c>
    </row>
    <row r="1027" spans="1:1" x14ac:dyDescent="0.35">
      <c r="A1027" s="517" t="s">
        <v>4509</v>
      </c>
    </row>
    <row r="1028" spans="1:1" x14ac:dyDescent="0.35">
      <c r="A1028" s="517" t="s">
        <v>4510</v>
      </c>
    </row>
    <row r="1029" spans="1:1" x14ac:dyDescent="0.35">
      <c r="A1029" s="517" t="s">
        <v>4511</v>
      </c>
    </row>
    <row r="1030" spans="1:1" x14ac:dyDescent="0.35">
      <c r="A1030" s="517" t="s">
        <v>4512</v>
      </c>
    </row>
    <row r="1031" spans="1:1" x14ac:dyDescent="0.35">
      <c r="A1031" s="517" t="s">
        <v>4513</v>
      </c>
    </row>
    <row r="1032" spans="1:1" x14ac:dyDescent="0.35">
      <c r="A1032" s="517" t="s">
        <v>4514</v>
      </c>
    </row>
    <row r="1033" spans="1:1" x14ac:dyDescent="0.35">
      <c r="A1033" s="517" t="s">
        <v>4515</v>
      </c>
    </row>
    <row r="1034" spans="1:1" x14ac:dyDescent="0.35">
      <c r="A1034" s="517" t="s">
        <v>4516</v>
      </c>
    </row>
    <row r="1035" spans="1:1" x14ac:dyDescent="0.35">
      <c r="A1035" s="517" t="s">
        <v>4517</v>
      </c>
    </row>
    <row r="1036" spans="1:1" x14ac:dyDescent="0.35">
      <c r="A1036" s="517" t="s">
        <v>4518</v>
      </c>
    </row>
    <row r="1037" spans="1:1" x14ac:dyDescent="0.35">
      <c r="A1037" s="517" t="s">
        <v>4519</v>
      </c>
    </row>
    <row r="1038" spans="1:1" x14ac:dyDescent="0.35">
      <c r="A1038" s="517" t="s">
        <v>4520</v>
      </c>
    </row>
    <row r="1039" spans="1:1" x14ac:dyDescent="0.35">
      <c r="A1039" s="517" t="s">
        <v>4521</v>
      </c>
    </row>
    <row r="1040" spans="1:1" x14ac:dyDescent="0.35">
      <c r="A1040" s="517" t="s">
        <v>4522</v>
      </c>
    </row>
    <row r="1041" spans="1:1" x14ac:dyDescent="0.35">
      <c r="A1041" s="517" t="s">
        <v>4523</v>
      </c>
    </row>
    <row r="1042" spans="1:1" x14ac:dyDescent="0.35">
      <c r="A1042" s="517" t="s">
        <v>4524</v>
      </c>
    </row>
    <row r="1043" spans="1:1" x14ac:dyDescent="0.35">
      <c r="A1043" s="517" t="s">
        <v>4525</v>
      </c>
    </row>
    <row r="1044" spans="1:1" x14ac:dyDescent="0.35">
      <c r="A1044" s="517" t="s">
        <v>4526</v>
      </c>
    </row>
    <row r="1045" spans="1:1" x14ac:dyDescent="0.35">
      <c r="A1045" s="517" t="s">
        <v>4527</v>
      </c>
    </row>
    <row r="1046" spans="1:1" x14ac:dyDescent="0.35">
      <c r="A1046" s="517" t="s">
        <v>4528</v>
      </c>
    </row>
    <row r="1047" spans="1:1" x14ac:dyDescent="0.35">
      <c r="A1047" s="517" t="s">
        <v>4529</v>
      </c>
    </row>
    <row r="1048" spans="1:1" x14ac:dyDescent="0.35">
      <c r="A1048" s="517" t="s">
        <v>4530</v>
      </c>
    </row>
    <row r="1049" spans="1:1" x14ac:dyDescent="0.35">
      <c r="A1049" s="517" t="s">
        <v>4531</v>
      </c>
    </row>
    <row r="1050" spans="1:1" x14ac:dyDescent="0.35">
      <c r="A1050" s="517" t="s">
        <v>4532</v>
      </c>
    </row>
    <row r="1051" spans="1:1" x14ac:dyDescent="0.35">
      <c r="A1051" s="517" t="s">
        <v>4533</v>
      </c>
    </row>
    <row r="1052" spans="1:1" x14ac:dyDescent="0.35">
      <c r="A1052" s="517" t="s">
        <v>4534</v>
      </c>
    </row>
    <row r="1053" spans="1:1" x14ac:dyDescent="0.35">
      <c r="A1053" s="517" t="s">
        <v>4535</v>
      </c>
    </row>
    <row r="1054" spans="1:1" x14ac:dyDescent="0.35">
      <c r="A1054" s="517" t="s">
        <v>4536</v>
      </c>
    </row>
    <row r="1055" spans="1:1" x14ac:dyDescent="0.35">
      <c r="A1055" s="517" t="s">
        <v>4537</v>
      </c>
    </row>
    <row r="1056" spans="1:1" x14ac:dyDescent="0.35">
      <c r="A1056" s="517" t="s">
        <v>4538</v>
      </c>
    </row>
    <row r="1057" spans="1:2" x14ac:dyDescent="0.35">
      <c r="A1057" s="517" t="s">
        <v>4539</v>
      </c>
    </row>
    <row r="1058" spans="1:2" x14ac:dyDescent="0.35">
      <c r="A1058" s="517" t="s">
        <v>4540</v>
      </c>
    </row>
    <row r="1059" spans="1:2" x14ac:dyDescent="0.35">
      <c r="A1059" s="517" t="s">
        <v>4541</v>
      </c>
    </row>
    <row r="1060" spans="1:2" x14ac:dyDescent="0.35">
      <c r="A1060" s="517" t="s">
        <v>4542</v>
      </c>
    </row>
    <row r="1061" spans="1:2" x14ac:dyDescent="0.35">
      <c r="A1061" s="517" t="s">
        <v>4543</v>
      </c>
    </row>
    <row r="1062" spans="1:2" x14ac:dyDescent="0.35">
      <c r="A1062" s="517" t="s">
        <v>4544</v>
      </c>
    </row>
    <row r="1063" spans="1:2" x14ac:dyDescent="0.35">
      <c r="A1063" s="517" t="s">
        <v>4545</v>
      </c>
    </row>
    <row r="1064" spans="1:2" x14ac:dyDescent="0.35">
      <c r="A1064" s="517" t="s">
        <v>4546</v>
      </c>
    </row>
    <row r="1065" spans="1:2" x14ac:dyDescent="0.35">
      <c r="A1065" s="517" t="s">
        <v>4547</v>
      </c>
    </row>
    <row r="1066" spans="1:2" x14ac:dyDescent="0.35">
      <c r="A1066" s="517" t="s">
        <v>4548</v>
      </c>
      <c r="B1066" s="517"/>
    </row>
    <row r="1067" spans="1:2" x14ac:dyDescent="0.35">
      <c r="A1067" s="517" t="s">
        <v>4549</v>
      </c>
    </row>
    <row r="1068" spans="1:2" x14ac:dyDescent="0.35">
      <c r="A1068" s="517" t="s">
        <v>4550</v>
      </c>
    </row>
    <row r="1069" spans="1:2" x14ac:dyDescent="0.35">
      <c r="A1069" s="517" t="s">
        <v>4551</v>
      </c>
    </row>
    <row r="1070" spans="1:2" x14ac:dyDescent="0.35">
      <c r="A1070" s="517" t="s">
        <v>4552</v>
      </c>
    </row>
    <row r="1071" spans="1:2" x14ac:dyDescent="0.35">
      <c r="A1071" s="517" t="s">
        <v>4553</v>
      </c>
    </row>
    <row r="1072" spans="1:2" x14ac:dyDescent="0.35">
      <c r="A1072" s="517" t="s">
        <v>4554</v>
      </c>
    </row>
    <row r="1073" spans="1:1" x14ac:dyDescent="0.35">
      <c r="A1073" s="517" t="s">
        <v>4555</v>
      </c>
    </row>
    <row r="1074" spans="1:1" x14ac:dyDescent="0.35">
      <c r="A1074" s="517" t="s">
        <v>4556</v>
      </c>
    </row>
    <row r="1075" spans="1:1" x14ac:dyDescent="0.35">
      <c r="A1075" s="517" t="s">
        <v>4557</v>
      </c>
    </row>
    <row r="1076" spans="1:1" x14ac:dyDescent="0.35">
      <c r="A1076" s="517" t="s">
        <v>4558</v>
      </c>
    </row>
    <row r="1077" spans="1:1" x14ac:dyDescent="0.35">
      <c r="A1077" s="517" t="s">
        <v>4559</v>
      </c>
    </row>
    <row r="1078" spans="1:1" x14ac:dyDescent="0.35">
      <c r="A1078" s="517" t="s">
        <v>4560</v>
      </c>
    </row>
    <row r="1079" spans="1:1" x14ac:dyDescent="0.35">
      <c r="A1079" s="517" t="s">
        <v>4561</v>
      </c>
    </row>
    <row r="1080" spans="1:1" x14ac:dyDescent="0.35">
      <c r="A1080" s="517" t="s">
        <v>4562</v>
      </c>
    </row>
    <row r="1081" spans="1:1" x14ac:dyDescent="0.35">
      <c r="A1081" s="517" t="s">
        <v>4563</v>
      </c>
    </row>
    <row r="1082" spans="1:1" x14ac:dyDescent="0.35">
      <c r="A1082" s="517" t="s">
        <v>4564</v>
      </c>
    </row>
    <row r="1083" spans="1:1" x14ac:dyDescent="0.35">
      <c r="A1083" s="517" t="s">
        <v>4565</v>
      </c>
    </row>
    <row r="1084" spans="1:1" x14ac:dyDescent="0.35">
      <c r="A1084" s="517" t="s">
        <v>4566</v>
      </c>
    </row>
    <row r="1085" spans="1:1" x14ac:dyDescent="0.35">
      <c r="A1085" s="517" t="s">
        <v>4567</v>
      </c>
    </row>
    <row r="1086" spans="1:1" x14ac:dyDescent="0.35">
      <c r="A1086" s="517" t="s">
        <v>4568</v>
      </c>
    </row>
    <row r="1087" spans="1:1" x14ac:dyDescent="0.35">
      <c r="A1087" s="517" t="s">
        <v>4569</v>
      </c>
    </row>
    <row r="1088" spans="1:1" x14ac:dyDescent="0.35">
      <c r="A1088" s="517" t="s">
        <v>4570</v>
      </c>
    </row>
    <row r="1089" spans="1:1" x14ac:dyDescent="0.35">
      <c r="A1089" s="517" t="s">
        <v>4571</v>
      </c>
    </row>
    <row r="1090" spans="1:1" x14ac:dyDescent="0.35">
      <c r="A1090" s="517" t="s">
        <v>4572</v>
      </c>
    </row>
    <row r="1091" spans="1:1" x14ac:dyDescent="0.35">
      <c r="A1091" s="517" t="s">
        <v>4573</v>
      </c>
    </row>
    <row r="1092" spans="1:1" x14ac:dyDescent="0.35">
      <c r="A1092" s="517" t="s">
        <v>4574</v>
      </c>
    </row>
    <row r="1093" spans="1:1" x14ac:dyDescent="0.35">
      <c r="A1093" s="517" t="s">
        <v>4575</v>
      </c>
    </row>
    <row r="1094" spans="1:1" x14ac:dyDescent="0.35">
      <c r="A1094" s="517" t="s">
        <v>4576</v>
      </c>
    </row>
    <row r="1095" spans="1:1" x14ac:dyDescent="0.35">
      <c r="A1095" s="517" t="s">
        <v>4577</v>
      </c>
    </row>
    <row r="1096" spans="1:1" x14ac:dyDescent="0.35">
      <c r="A1096" s="517" t="s">
        <v>4578</v>
      </c>
    </row>
    <row r="1097" spans="1:1" x14ac:dyDescent="0.35">
      <c r="A1097" s="517" t="s">
        <v>4579</v>
      </c>
    </row>
    <row r="1098" spans="1:1" x14ac:dyDescent="0.35">
      <c r="A1098" s="517" t="s">
        <v>4580</v>
      </c>
    </row>
    <row r="1099" spans="1:1" x14ac:dyDescent="0.35">
      <c r="A1099" s="517" t="s">
        <v>4581</v>
      </c>
    </row>
    <row r="1100" spans="1:1" x14ac:dyDescent="0.35">
      <c r="A1100" s="517" t="s">
        <v>4582</v>
      </c>
    </row>
    <row r="1101" spans="1:1" x14ac:dyDescent="0.35">
      <c r="A1101" s="517" t="s">
        <v>4583</v>
      </c>
    </row>
    <row r="1102" spans="1:1" x14ac:dyDescent="0.35">
      <c r="A1102" s="517" t="s">
        <v>4584</v>
      </c>
    </row>
    <row r="1103" spans="1:1" x14ac:dyDescent="0.35">
      <c r="A1103" s="517" t="s">
        <v>4585</v>
      </c>
    </row>
    <row r="1104" spans="1:1" x14ac:dyDescent="0.35">
      <c r="A1104" s="517" t="s">
        <v>4586</v>
      </c>
    </row>
    <row r="1105" spans="1:1" x14ac:dyDescent="0.35">
      <c r="A1105" s="517" t="s">
        <v>4587</v>
      </c>
    </row>
    <row r="1106" spans="1:1" x14ac:dyDescent="0.35">
      <c r="A1106" s="517" t="s">
        <v>4588</v>
      </c>
    </row>
    <row r="1107" spans="1:1" x14ac:dyDescent="0.35">
      <c r="A1107" s="517" t="s">
        <v>4589</v>
      </c>
    </row>
    <row r="1108" spans="1:1" x14ac:dyDescent="0.35">
      <c r="A1108" s="517" t="s">
        <v>4590</v>
      </c>
    </row>
    <row r="1109" spans="1:1" x14ac:dyDescent="0.35">
      <c r="A1109" s="517" t="s">
        <v>4591</v>
      </c>
    </row>
    <row r="1110" spans="1:1" x14ac:dyDescent="0.35">
      <c r="A1110" s="517" t="s">
        <v>4592</v>
      </c>
    </row>
    <row r="1111" spans="1:1" x14ac:dyDescent="0.35">
      <c r="A1111" s="517" t="s">
        <v>4593</v>
      </c>
    </row>
    <row r="1112" spans="1:1" x14ac:dyDescent="0.35">
      <c r="A1112" s="517" t="s">
        <v>4594</v>
      </c>
    </row>
    <row r="1113" spans="1:1" x14ac:dyDescent="0.35">
      <c r="A1113" s="517" t="s">
        <v>4595</v>
      </c>
    </row>
    <row r="1114" spans="1:1" x14ac:dyDescent="0.35">
      <c r="A1114" s="517" t="s">
        <v>4596</v>
      </c>
    </row>
    <row r="1115" spans="1:1" x14ac:dyDescent="0.35">
      <c r="A1115" s="517" t="s">
        <v>4597</v>
      </c>
    </row>
    <row r="1116" spans="1:1" x14ac:dyDescent="0.35">
      <c r="A1116" s="517" t="s">
        <v>4598</v>
      </c>
    </row>
    <row r="1117" spans="1:1" x14ac:dyDescent="0.35">
      <c r="A1117" s="517" t="s">
        <v>4599</v>
      </c>
    </row>
    <row r="1118" spans="1:1" x14ac:dyDescent="0.35">
      <c r="A1118" s="517" t="s">
        <v>4600</v>
      </c>
    </row>
    <row r="1119" spans="1:1" x14ac:dyDescent="0.35">
      <c r="A1119" s="517" t="s">
        <v>4601</v>
      </c>
    </row>
    <row r="1120" spans="1:1" x14ac:dyDescent="0.35">
      <c r="A1120" s="517" t="s">
        <v>4602</v>
      </c>
    </row>
    <row r="1121" spans="1:1" x14ac:dyDescent="0.35">
      <c r="A1121" s="517" t="s">
        <v>4603</v>
      </c>
    </row>
    <row r="1122" spans="1:1" x14ac:dyDescent="0.35">
      <c r="A1122" s="517" t="s">
        <v>4604</v>
      </c>
    </row>
    <row r="1123" spans="1:1" x14ac:dyDescent="0.35">
      <c r="A1123" s="517" t="s">
        <v>4605</v>
      </c>
    </row>
    <row r="1124" spans="1:1" x14ac:dyDescent="0.35">
      <c r="A1124" s="517" t="s">
        <v>4606</v>
      </c>
    </row>
    <row r="1125" spans="1:1" x14ac:dyDescent="0.35">
      <c r="A1125" s="517" t="s">
        <v>4607</v>
      </c>
    </row>
    <row r="1126" spans="1:1" x14ac:dyDescent="0.35">
      <c r="A1126" s="517" t="s">
        <v>4608</v>
      </c>
    </row>
    <row r="1127" spans="1:1" x14ac:dyDescent="0.35">
      <c r="A1127" s="517" t="s">
        <v>4609</v>
      </c>
    </row>
    <row r="1128" spans="1:1" x14ac:dyDescent="0.35">
      <c r="A1128" s="517" t="s">
        <v>4610</v>
      </c>
    </row>
    <row r="1129" spans="1:1" x14ac:dyDescent="0.35">
      <c r="A1129" s="517" t="s">
        <v>4611</v>
      </c>
    </row>
    <row r="1130" spans="1:1" x14ac:dyDescent="0.35">
      <c r="A1130" s="517" t="s">
        <v>4612</v>
      </c>
    </row>
    <row r="1131" spans="1:1" x14ac:dyDescent="0.35">
      <c r="A1131" s="517" t="s">
        <v>4613</v>
      </c>
    </row>
    <row r="1132" spans="1:1" x14ac:dyDescent="0.35">
      <c r="A1132" s="517" t="s">
        <v>4614</v>
      </c>
    </row>
    <row r="1133" spans="1:1" x14ac:dyDescent="0.35">
      <c r="A1133" s="517" t="s">
        <v>4615</v>
      </c>
    </row>
    <row r="1134" spans="1:1" x14ac:dyDescent="0.35">
      <c r="A1134" s="517" t="s">
        <v>4616</v>
      </c>
    </row>
    <row r="1135" spans="1:1" x14ac:dyDescent="0.35">
      <c r="A1135" s="517" t="s">
        <v>4617</v>
      </c>
    </row>
    <row r="1136" spans="1:1" x14ac:dyDescent="0.35">
      <c r="A1136" s="517" t="s">
        <v>4618</v>
      </c>
    </row>
    <row r="1137" spans="1:3" x14ac:dyDescent="0.35">
      <c r="A1137" s="517" t="s">
        <v>4619</v>
      </c>
    </row>
    <row r="1138" spans="1:3" x14ac:dyDescent="0.35">
      <c r="A1138" s="517" t="s">
        <v>4620</v>
      </c>
    </row>
    <row r="1139" spans="1:3" x14ac:dyDescent="0.35">
      <c r="A1139" s="517" t="s">
        <v>4621</v>
      </c>
    </row>
    <row r="1140" spans="1:3" x14ac:dyDescent="0.35">
      <c r="A1140" s="517" t="s">
        <v>4622</v>
      </c>
    </row>
    <row r="1141" spans="1:3" x14ac:dyDescent="0.35">
      <c r="A1141" s="517" t="s">
        <v>4623</v>
      </c>
    </row>
    <row r="1142" spans="1:3" x14ac:dyDescent="0.35">
      <c r="A1142" s="517" t="s">
        <v>4624</v>
      </c>
    </row>
    <row r="1143" spans="1:3" x14ac:dyDescent="0.35">
      <c r="A1143" s="517" t="s">
        <v>4625</v>
      </c>
    </row>
    <row r="1144" spans="1:3" x14ac:dyDescent="0.35">
      <c r="A1144" s="517" t="s">
        <v>4626</v>
      </c>
    </row>
    <row r="1145" spans="1:3" x14ac:dyDescent="0.35">
      <c r="A1145" s="517" t="s">
        <v>4627</v>
      </c>
    </row>
    <row r="1146" spans="1:3" x14ac:dyDescent="0.35">
      <c r="A1146" s="517" t="s">
        <v>4628</v>
      </c>
    </row>
    <row r="1147" spans="1:3" x14ac:dyDescent="0.35">
      <c r="A1147" s="517" t="s">
        <v>4629</v>
      </c>
    </row>
    <row r="1148" spans="1:3" x14ac:dyDescent="0.35">
      <c r="A1148" s="517" t="s">
        <v>4630</v>
      </c>
    </row>
    <row r="1149" spans="1:3" x14ac:dyDescent="0.35">
      <c r="A1149" s="517" t="s">
        <v>3282</v>
      </c>
    </row>
    <row r="1150" spans="1:3" x14ac:dyDescent="0.35">
      <c r="A1150" s="517" t="s">
        <v>4997</v>
      </c>
      <c r="B1150">
        <v>100</v>
      </c>
      <c r="C1150">
        <v>100</v>
      </c>
    </row>
    <row r="1151" spans="1:3" x14ac:dyDescent="0.35">
      <c r="A1151" s="517" t="s">
        <v>4998</v>
      </c>
      <c r="B1151">
        <v>80</v>
      </c>
      <c r="C1151">
        <v>80</v>
      </c>
    </row>
    <row r="1152" spans="1:3" x14ac:dyDescent="0.35">
      <c r="A1152" s="517" t="s">
        <v>4993</v>
      </c>
      <c r="B1152">
        <v>0</v>
      </c>
      <c r="C1152">
        <v>0</v>
      </c>
    </row>
    <row r="1153" spans="1:3" x14ac:dyDescent="0.35">
      <c r="A1153" s="517" t="s">
        <v>4992</v>
      </c>
      <c r="B1153">
        <v>42370</v>
      </c>
      <c r="C1153">
        <v>42370</v>
      </c>
    </row>
    <row r="1154" spans="1:3" x14ac:dyDescent="0.35">
      <c r="A1154" s="517" t="s">
        <v>4994</v>
      </c>
      <c r="B1154">
        <v>30</v>
      </c>
      <c r="C1154">
        <v>30</v>
      </c>
    </row>
    <row r="1155" spans="1:3" x14ac:dyDescent="0.35">
      <c r="A1155" s="517" t="s">
        <v>3210</v>
      </c>
    </row>
    <row r="1156" spans="1:3" x14ac:dyDescent="0.35">
      <c r="A1156" s="517" t="s">
        <v>3211</v>
      </c>
    </row>
    <row r="1157" spans="1:3" x14ac:dyDescent="0.35">
      <c r="A1157" s="517" t="s">
        <v>3212</v>
      </c>
    </row>
    <row r="1158" spans="1:3" x14ac:dyDescent="0.35">
      <c r="A1158" s="517" t="s">
        <v>3213</v>
      </c>
    </row>
    <row r="1159" spans="1:3" x14ac:dyDescent="0.35">
      <c r="A1159" s="517" t="s">
        <v>3214</v>
      </c>
    </row>
    <row r="1160" spans="1:3" x14ac:dyDescent="0.35">
      <c r="A1160" s="517" t="s">
        <v>3215</v>
      </c>
    </row>
    <row r="1161" spans="1:3" x14ac:dyDescent="0.35">
      <c r="A1161" s="517" t="s">
        <v>3216</v>
      </c>
    </row>
    <row r="1162" spans="1:3" x14ac:dyDescent="0.35">
      <c r="A1162" s="517" t="s">
        <v>3217</v>
      </c>
    </row>
    <row r="1163" spans="1:3" x14ac:dyDescent="0.35">
      <c r="A1163" s="517" t="s">
        <v>3218</v>
      </c>
    </row>
    <row r="1164" spans="1:3" x14ac:dyDescent="0.35">
      <c r="A1164" s="517" t="s">
        <v>3219</v>
      </c>
    </row>
    <row r="1165" spans="1:3" x14ac:dyDescent="0.35">
      <c r="A1165" s="517" t="s">
        <v>3220</v>
      </c>
    </row>
    <row r="1166" spans="1:3" x14ac:dyDescent="0.35">
      <c r="A1166" s="517" t="s">
        <v>3221</v>
      </c>
    </row>
    <row r="1167" spans="1:3" x14ac:dyDescent="0.35">
      <c r="A1167" s="517" t="s">
        <v>3222</v>
      </c>
    </row>
    <row r="1168" spans="1:3" x14ac:dyDescent="0.35">
      <c r="A1168" s="517" t="s">
        <v>3223</v>
      </c>
    </row>
    <row r="1169" spans="1:1" x14ac:dyDescent="0.35">
      <c r="A1169" s="517" t="s">
        <v>3224</v>
      </c>
    </row>
    <row r="1170" spans="1:1" x14ac:dyDescent="0.35">
      <c r="A1170" s="517" t="s">
        <v>3225</v>
      </c>
    </row>
    <row r="1171" spans="1:1" x14ac:dyDescent="0.35">
      <c r="A1171" s="517" t="s">
        <v>3226</v>
      </c>
    </row>
    <row r="1172" spans="1:1" x14ac:dyDescent="0.35">
      <c r="A1172" s="517" t="s">
        <v>3227</v>
      </c>
    </row>
    <row r="1173" spans="1:1" x14ac:dyDescent="0.35">
      <c r="A1173" s="517" t="s">
        <v>3228</v>
      </c>
    </row>
    <row r="1174" spans="1:1" x14ac:dyDescent="0.35">
      <c r="A1174" s="517" t="s">
        <v>3229</v>
      </c>
    </row>
    <row r="1175" spans="1:1" x14ac:dyDescent="0.35">
      <c r="A1175" s="517" t="s">
        <v>3230</v>
      </c>
    </row>
    <row r="1176" spans="1:1" x14ac:dyDescent="0.35">
      <c r="A1176" s="517" t="s">
        <v>3231</v>
      </c>
    </row>
    <row r="1177" spans="1:1" x14ac:dyDescent="0.35">
      <c r="A1177" s="517" t="s">
        <v>3232</v>
      </c>
    </row>
    <row r="1178" spans="1:1" x14ac:dyDescent="0.35">
      <c r="A1178" s="517" t="s">
        <v>3233</v>
      </c>
    </row>
    <row r="1179" spans="1:1" x14ac:dyDescent="0.35">
      <c r="A1179" s="517" t="s">
        <v>3234</v>
      </c>
    </row>
    <row r="1180" spans="1:1" x14ac:dyDescent="0.35">
      <c r="A1180" s="517" t="s">
        <v>3235</v>
      </c>
    </row>
    <row r="1181" spans="1:1" x14ac:dyDescent="0.35">
      <c r="A1181" s="517" t="s">
        <v>3236</v>
      </c>
    </row>
    <row r="1182" spans="1:1" x14ac:dyDescent="0.35">
      <c r="A1182" s="517" t="s">
        <v>3237</v>
      </c>
    </row>
    <row r="1183" spans="1:1" x14ac:dyDescent="0.35">
      <c r="A1183" s="517" t="s">
        <v>3238</v>
      </c>
    </row>
    <row r="1184" spans="1:1" x14ac:dyDescent="0.35">
      <c r="A1184" s="517" t="s">
        <v>3239</v>
      </c>
    </row>
    <row r="1185" spans="1:1" x14ac:dyDescent="0.35">
      <c r="A1185" s="517" t="s">
        <v>3240</v>
      </c>
    </row>
    <row r="1186" spans="1:1" x14ac:dyDescent="0.35">
      <c r="A1186" s="517" t="s">
        <v>3241</v>
      </c>
    </row>
    <row r="1187" spans="1:1" x14ac:dyDescent="0.35">
      <c r="A1187" s="517" t="s">
        <v>3242</v>
      </c>
    </row>
    <row r="1188" spans="1:1" x14ac:dyDescent="0.35">
      <c r="A1188" s="517" t="s">
        <v>3243</v>
      </c>
    </row>
    <row r="1189" spans="1:1" x14ac:dyDescent="0.35">
      <c r="A1189" s="517" t="s">
        <v>3244</v>
      </c>
    </row>
    <row r="1190" spans="1:1" x14ac:dyDescent="0.35">
      <c r="A1190" s="517" t="s">
        <v>3245</v>
      </c>
    </row>
    <row r="1191" spans="1:1" x14ac:dyDescent="0.35">
      <c r="A1191" s="517" t="s">
        <v>3246</v>
      </c>
    </row>
    <row r="1192" spans="1:1" x14ac:dyDescent="0.35">
      <c r="A1192" s="517" t="s">
        <v>3247</v>
      </c>
    </row>
    <row r="1193" spans="1:1" x14ac:dyDescent="0.35">
      <c r="A1193" s="517" t="s">
        <v>3248</v>
      </c>
    </row>
    <row r="1194" spans="1:1" x14ac:dyDescent="0.35">
      <c r="A1194" s="517" t="s">
        <v>3249</v>
      </c>
    </row>
    <row r="1195" spans="1:1" x14ac:dyDescent="0.35">
      <c r="A1195" s="517" t="s">
        <v>3250</v>
      </c>
    </row>
    <row r="1196" spans="1:1" x14ac:dyDescent="0.35">
      <c r="A1196" s="517" t="s">
        <v>3251</v>
      </c>
    </row>
    <row r="1197" spans="1:1" x14ac:dyDescent="0.35">
      <c r="A1197" s="517" t="s">
        <v>3252</v>
      </c>
    </row>
    <row r="1198" spans="1:1" x14ac:dyDescent="0.35">
      <c r="A1198" s="517" t="s">
        <v>3253</v>
      </c>
    </row>
    <row r="1199" spans="1:1" x14ac:dyDescent="0.35">
      <c r="A1199" s="517" t="s">
        <v>3254</v>
      </c>
    </row>
    <row r="1200" spans="1:1" x14ac:dyDescent="0.35">
      <c r="A1200" s="517" t="s">
        <v>3255</v>
      </c>
    </row>
    <row r="1201" spans="1:1" x14ac:dyDescent="0.35">
      <c r="A1201" s="517" t="s">
        <v>3256</v>
      </c>
    </row>
    <row r="1202" spans="1:1" x14ac:dyDescent="0.35">
      <c r="A1202" s="517" t="s">
        <v>3257</v>
      </c>
    </row>
    <row r="1203" spans="1:1" x14ac:dyDescent="0.35">
      <c r="A1203" s="517" t="s">
        <v>3258</v>
      </c>
    </row>
    <row r="1204" spans="1:1" x14ac:dyDescent="0.35">
      <c r="A1204" s="517" t="s">
        <v>3259</v>
      </c>
    </row>
    <row r="1205" spans="1:1" x14ac:dyDescent="0.35">
      <c r="A1205" s="517" t="s">
        <v>3260</v>
      </c>
    </row>
    <row r="1206" spans="1:1" x14ac:dyDescent="0.35">
      <c r="A1206" s="517" t="s">
        <v>3261</v>
      </c>
    </row>
    <row r="1207" spans="1:1" x14ac:dyDescent="0.35">
      <c r="A1207" s="517" t="s">
        <v>3262</v>
      </c>
    </row>
    <row r="1208" spans="1:1" x14ac:dyDescent="0.35">
      <c r="A1208" s="517" t="s">
        <v>3263</v>
      </c>
    </row>
    <row r="1209" spans="1:1" x14ac:dyDescent="0.35">
      <c r="A1209" s="517" t="s">
        <v>3264</v>
      </c>
    </row>
    <row r="1210" spans="1:1" x14ac:dyDescent="0.35">
      <c r="A1210" s="517" t="s">
        <v>3265</v>
      </c>
    </row>
    <row r="1211" spans="1:1" x14ac:dyDescent="0.35">
      <c r="A1211" s="517" t="s">
        <v>3266</v>
      </c>
    </row>
    <row r="1212" spans="1:1" x14ac:dyDescent="0.35">
      <c r="A1212" s="517" t="s">
        <v>3267</v>
      </c>
    </row>
    <row r="1213" spans="1:1" x14ac:dyDescent="0.35">
      <c r="A1213" s="517" t="s">
        <v>3268</v>
      </c>
    </row>
    <row r="1214" spans="1:1" x14ac:dyDescent="0.35">
      <c r="A1214" s="517" t="s">
        <v>3269</v>
      </c>
    </row>
    <row r="1215" spans="1:1" x14ac:dyDescent="0.35">
      <c r="A1215" s="517" t="s">
        <v>3270</v>
      </c>
    </row>
    <row r="1216" spans="1:1" x14ac:dyDescent="0.35">
      <c r="A1216" s="517" t="s">
        <v>3271</v>
      </c>
    </row>
    <row r="1217" spans="1:3" x14ac:dyDescent="0.35">
      <c r="A1217" s="517" t="s">
        <v>3272</v>
      </c>
    </row>
    <row r="1218" spans="1:3" x14ac:dyDescent="0.35">
      <c r="A1218" s="517" t="s">
        <v>4631</v>
      </c>
    </row>
    <row r="1219" spans="1:3" x14ac:dyDescent="0.35">
      <c r="A1219" s="517" t="s">
        <v>3273</v>
      </c>
    </row>
    <row r="1220" spans="1:3" x14ac:dyDescent="0.35">
      <c r="A1220" s="517" t="s">
        <v>3274</v>
      </c>
    </row>
    <row r="1221" spans="1:3" x14ac:dyDescent="0.35">
      <c r="A1221" s="517" t="s">
        <v>3089</v>
      </c>
    </row>
    <row r="1222" spans="1:3" x14ac:dyDescent="0.35">
      <c r="A1222" s="517" t="s">
        <v>4632</v>
      </c>
      <c r="B1222">
        <v>1</v>
      </c>
      <c r="C1222">
        <v>1</v>
      </c>
    </row>
    <row r="1223" spans="1:3" x14ac:dyDescent="0.35">
      <c r="A1223" s="517" t="s">
        <v>4633</v>
      </c>
    </row>
    <row r="1224" spans="1:3" x14ac:dyDescent="0.35">
      <c r="A1224" s="517" t="s">
        <v>4634</v>
      </c>
    </row>
    <row r="1225" spans="1:3" x14ac:dyDescent="0.35">
      <c r="A1225" s="517" t="s">
        <v>4635</v>
      </c>
    </row>
    <row r="1226" spans="1:3" x14ac:dyDescent="0.35">
      <c r="A1226" s="517" t="s">
        <v>4636</v>
      </c>
      <c r="B1226">
        <v>1</v>
      </c>
      <c r="C1226">
        <v>1</v>
      </c>
    </row>
    <row r="1227" spans="1:3" x14ac:dyDescent="0.35">
      <c r="A1227" s="517" t="s">
        <v>4637</v>
      </c>
    </row>
    <row r="1228" spans="1:3" x14ac:dyDescent="0.35">
      <c r="A1228" s="517" t="s">
        <v>4638</v>
      </c>
    </row>
    <row r="1229" spans="1:3" x14ac:dyDescent="0.35">
      <c r="A1229" s="517" t="s">
        <v>4639</v>
      </c>
    </row>
    <row r="1230" spans="1:3" x14ac:dyDescent="0.35">
      <c r="A1230" s="517" t="s">
        <v>4640</v>
      </c>
    </row>
    <row r="1231" spans="1:3" x14ac:dyDescent="0.35">
      <c r="A1231" s="517" t="s">
        <v>4641</v>
      </c>
      <c r="B1231">
        <v>1</v>
      </c>
      <c r="C1231">
        <v>1</v>
      </c>
    </row>
    <row r="1232" spans="1:3" x14ac:dyDescent="0.35">
      <c r="A1232" s="517" t="s">
        <v>4642</v>
      </c>
    </row>
    <row r="1233" spans="1:3" x14ac:dyDescent="0.35">
      <c r="A1233" s="517" t="s">
        <v>4643</v>
      </c>
    </row>
    <row r="1234" spans="1:3" x14ac:dyDescent="0.35">
      <c r="A1234" s="517" t="s">
        <v>4644</v>
      </c>
    </row>
    <row r="1235" spans="1:3" x14ac:dyDescent="0.35">
      <c r="A1235" s="517" t="s">
        <v>4645</v>
      </c>
    </row>
    <row r="1236" spans="1:3" x14ac:dyDescent="0.35">
      <c r="A1236" s="517" t="s">
        <v>4646</v>
      </c>
    </row>
    <row r="1237" spans="1:3" x14ac:dyDescent="0.35">
      <c r="A1237" s="517" t="s">
        <v>4647</v>
      </c>
    </row>
    <row r="1238" spans="1:3" x14ac:dyDescent="0.35">
      <c r="A1238" s="517" t="s">
        <v>4648</v>
      </c>
    </row>
    <row r="1239" spans="1:3" x14ac:dyDescent="0.35">
      <c r="A1239" s="517" t="s">
        <v>4649</v>
      </c>
    </row>
    <row r="1240" spans="1:3" x14ac:dyDescent="0.35">
      <c r="A1240" s="517" t="s">
        <v>4650</v>
      </c>
    </row>
    <row r="1241" spans="1:3" x14ac:dyDescent="0.35">
      <c r="A1241" s="517" t="s">
        <v>4651</v>
      </c>
    </row>
    <row r="1242" spans="1:3" x14ac:dyDescent="0.35">
      <c r="A1242" s="517" t="s">
        <v>4652</v>
      </c>
    </row>
    <row r="1243" spans="1:3" x14ac:dyDescent="0.35">
      <c r="A1243" s="517" t="s">
        <v>4653</v>
      </c>
    </row>
    <row r="1244" spans="1:3" x14ac:dyDescent="0.35">
      <c r="A1244" s="517" t="s">
        <v>4654</v>
      </c>
      <c r="B1244">
        <v>0</v>
      </c>
      <c r="C1244">
        <v>0</v>
      </c>
    </row>
    <row r="1245" spans="1:3" x14ac:dyDescent="0.35">
      <c r="A1245" s="517" t="s">
        <v>4655</v>
      </c>
    </row>
    <row r="1246" spans="1:3" x14ac:dyDescent="0.35">
      <c r="A1246" s="517" t="s">
        <v>4656</v>
      </c>
    </row>
    <row r="1247" spans="1:3" x14ac:dyDescent="0.35">
      <c r="A1247" s="517" t="s">
        <v>4657</v>
      </c>
    </row>
    <row r="1248" spans="1:3" x14ac:dyDescent="0.35">
      <c r="A1248" s="517" t="s">
        <v>1230</v>
      </c>
      <c r="B1248">
        <v>1</v>
      </c>
      <c r="C1248">
        <v>1</v>
      </c>
    </row>
    <row r="1249" spans="1:3" x14ac:dyDescent="0.35">
      <c r="A1249" s="517" t="s">
        <v>1231</v>
      </c>
      <c r="B1249">
        <v>1</v>
      </c>
      <c r="C1249">
        <v>1</v>
      </c>
    </row>
    <row r="1250" spans="1:3" x14ac:dyDescent="0.35">
      <c r="A1250" s="517" t="s">
        <v>1232</v>
      </c>
      <c r="B1250">
        <v>1</v>
      </c>
      <c r="C1250">
        <v>1</v>
      </c>
    </row>
    <row r="1251" spans="1:3" x14ac:dyDescent="0.35">
      <c r="A1251" s="517" t="s">
        <v>1233</v>
      </c>
      <c r="B1251">
        <v>1</v>
      </c>
      <c r="C1251">
        <v>1</v>
      </c>
    </row>
    <row r="1252" spans="1:3" x14ac:dyDescent="0.35">
      <c r="A1252" s="517" t="s">
        <v>1234</v>
      </c>
      <c r="B1252">
        <v>1</v>
      </c>
      <c r="C1252">
        <v>1</v>
      </c>
    </row>
    <row r="1253" spans="1:3" x14ac:dyDescent="0.35">
      <c r="A1253" s="517" t="s">
        <v>1235</v>
      </c>
      <c r="B1253">
        <v>1</v>
      </c>
      <c r="C1253">
        <v>1</v>
      </c>
    </row>
    <row r="1254" spans="1:3" x14ac:dyDescent="0.35">
      <c r="A1254" s="517" t="s">
        <v>4658</v>
      </c>
    </row>
    <row r="1255" spans="1:3" x14ac:dyDescent="0.35">
      <c r="A1255" s="517" t="s">
        <v>4659</v>
      </c>
    </row>
    <row r="1256" spans="1:3" x14ac:dyDescent="0.35">
      <c r="A1256" s="517" t="s">
        <v>4660</v>
      </c>
    </row>
    <row r="1257" spans="1:3" x14ac:dyDescent="0.35">
      <c r="A1257" s="517" t="s">
        <v>4661</v>
      </c>
    </row>
    <row r="1258" spans="1:3" x14ac:dyDescent="0.35">
      <c r="A1258" s="517" t="s">
        <v>4662</v>
      </c>
    </row>
    <row r="1259" spans="1:3" x14ac:dyDescent="0.35">
      <c r="A1259" s="517" t="s">
        <v>4663</v>
      </c>
    </row>
    <row r="1260" spans="1:3" x14ac:dyDescent="0.35">
      <c r="A1260" s="517" t="s">
        <v>4664</v>
      </c>
    </row>
    <row r="1261" spans="1:3" x14ac:dyDescent="0.35">
      <c r="A1261" s="517" t="s">
        <v>4665</v>
      </c>
    </row>
    <row r="1262" spans="1:3" x14ac:dyDescent="0.35">
      <c r="A1262" s="517" t="s">
        <v>4666</v>
      </c>
    </row>
    <row r="1263" spans="1:3" x14ac:dyDescent="0.35">
      <c r="A1263" s="517" t="s">
        <v>4667</v>
      </c>
    </row>
    <row r="1264" spans="1:3" x14ac:dyDescent="0.35">
      <c r="A1264" s="517" t="s">
        <v>4668</v>
      </c>
    </row>
    <row r="1265" spans="1:1" x14ac:dyDescent="0.35">
      <c r="A1265" s="517" t="s">
        <v>4669</v>
      </c>
    </row>
    <row r="1266" spans="1:1" x14ac:dyDescent="0.35">
      <c r="A1266" s="517" t="s">
        <v>4670</v>
      </c>
    </row>
    <row r="1267" spans="1:1" x14ac:dyDescent="0.35">
      <c r="A1267" s="517" t="s">
        <v>4671</v>
      </c>
    </row>
    <row r="1268" spans="1:1" x14ac:dyDescent="0.35">
      <c r="A1268" s="517" t="s">
        <v>4672</v>
      </c>
    </row>
    <row r="1269" spans="1:1" x14ac:dyDescent="0.35">
      <c r="A1269" s="517" t="s">
        <v>4673</v>
      </c>
    </row>
    <row r="1270" spans="1:1" x14ac:dyDescent="0.35">
      <c r="A1270" s="517" t="s">
        <v>4674</v>
      </c>
    </row>
    <row r="1271" spans="1:1" x14ac:dyDescent="0.35">
      <c r="A1271" s="517" t="s">
        <v>4675</v>
      </c>
    </row>
    <row r="1272" spans="1:1" x14ac:dyDescent="0.35">
      <c r="A1272" s="517" t="s">
        <v>4676</v>
      </c>
    </row>
    <row r="1273" spans="1:1" x14ac:dyDescent="0.35">
      <c r="A1273" s="517" t="s">
        <v>4677</v>
      </c>
    </row>
    <row r="1274" spans="1:1" x14ac:dyDescent="0.35">
      <c r="A1274" s="517" t="s">
        <v>4678</v>
      </c>
    </row>
    <row r="1275" spans="1:1" x14ac:dyDescent="0.35">
      <c r="A1275" s="517" t="s">
        <v>4679</v>
      </c>
    </row>
    <row r="1276" spans="1:1" x14ac:dyDescent="0.35">
      <c r="A1276" s="517" t="s">
        <v>4680</v>
      </c>
    </row>
    <row r="1277" spans="1:1" x14ac:dyDescent="0.35">
      <c r="A1277" s="517" t="s">
        <v>4681</v>
      </c>
    </row>
    <row r="1278" spans="1:1" x14ac:dyDescent="0.35">
      <c r="A1278" s="517" t="s">
        <v>4682</v>
      </c>
    </row>
    <row r="1279" spans="1:1" x14ac:dyDescent="0.35">
      <c r="A1279" s="517" t="s">
        <v>4683</v>
      </c>
    </row>
    <row r="1280" spans="1:1" x14ac:dyDescent="0.35">
      <c r="A1280" s="517" t="s">
        <v>4684</v>
      </c>
    </row>
    <row r="1281" spans="1:1" x14ac:dyDescent="0.35">
      <c r="A1281" s="517" t="s">
        <v>4685</v>
      </c>
    </row>
    <row r="1282" spans="1:1" x14ac:dyDescent="0.35">
      <c r="A1282" s="517" t="s">
        <v>4686</v>
      </c>
    </row>
    <row r="1283" spans="1:1" x14ac:dyDescent="0.35">
      <c r="A1283" s="517" t="s">
        <v>4687</v>
      </c>
    </row>
    <row r="1284" spans="1:1" x14ac:dyDescent="0.35">
      <c r="A1284" s="517" t="s">
        <v>4688</v>
      </c>
    </row>
    <row r="1285" spans="1:1" x14ac:dyDescent="0.35">
      <c r="A1285" s="517" t="s">
        <v>4689</v>
      </c>
    </row>
    <row r="1286" spans="1:1" x14ac:dyDescent="0.35">
      <c r="A1286" s="517" t="s">
        <v>4690</v>
      </c>
    </row>
    <row r="1287" spans="1:1" x14ac:dyDescent="0.35">
      <c r="A1287" s="517" t="s">
        <v>4691</v>
      </c>
    </row>
    <row r="1288" spans="1:1" x14ac:dyDescent="0.35">
      <c r="A1288" s="517" t="s">
        <v>4692</v>
      </c>
    </row>
    <row r="1289" spans="1:1" x14ac:dyDescent="0.35">
      <c r="A1289" s="517" t="s">
        <v>4693</v>
      </c>
    </row>
    <row r="1290" spans="1:1" x14ac:dyDescent="0.35">
      <c r="A1290" s="517" t="s">
        <v>4694</v>
      </c>
    </row>
    <row r="1291" spans="1:1" x14ac:dyDescent="0.35">
      <c r="A1291" s="517" t="s">
        <v>4695</v>
      </c>
    </row>
    <row r="1292" spans="1:1" x14ac:dyDescent="0.35">
      <c r="A1292" s="517" t="s">
        <v>4696</v>
      </c>
    </row>
    <row r="1293" spans="1:1" x14ac:dyDescent="0.35">
      <c r="A1293" s="517" t="s">
        <v>4697</v>
      </c>
    </row>
    <row r="1294" spans="1:1" x14ac:dyDescent="0.35">
      <c r="A1294" s="517" t="s">
        <v>4698</v>
      </c>
    </row>
    <row r="1295" spans="1:1" x14ac:dyDescent="0.35">
      <c r="A1295" s="517" t="s">
        <v>4699</v>
      </c>
    </row>
    <row r="1296" spans="1:1" x14ac:dyDescent="0.35">
      <c r="A1296" s="517" t="s">
        <v>4700</v>
      </c>
    </row>
    <row r="1297" spans="1:1" x14ac:dyDescent="0.35">
      <c r="A1297" s="517" t="s">
        <v>4701</v>
      </c>
    </row>
    <row r="1298" spans="1:1" x14ac:dyDescent="0.35">
      <c r="A1298" s="517" t="s">
        <v>4702</v>
      </c>
    </row>
    <row r="1299" spans="1:1" x14ac:dyDescent="0.35">
      <c r="A1299" s="517" t="s">
        <v>4703</v>
      </c>
    </row>
    <row r="1300" spans="1:1" x14ac:dyDescent="0.35">
      <c r="A1300" s="517" t="s">
        <v>4704</v>
      </c>
    </row>
    <row r="1301" spans="1:1" x14ac:dyDescent="0.35">
      <c r="A1301" s="517" t="s">
        <v>4705</v>
      </c>
    </row>
    <row r="1302" spans="1:1" x14ac:dyDescent="0.35">
      <c r="A1302" s="517" t="s">
        <v>4706</v>
      </c>
    </row>
    <row r="1303" spans="1:1" x14ac:dyDescent="0.35">
      <c r="A1303" s="517" t="s">
        <v>4707</v>
      </c>
    </row>
    <row r="1304" spans="1:1" x14ac:dyDescent="0.35">
      <c r="A1304" s="517" t="s">
        <v>4708</v>
      </c>
    </row>
    <row r="1305" spans="1:1" x14ac:dyDescent="0.35">
      <c r="A1305" s="517" t="s">
        <v>4709</v>
      </c>
    </row>
    <row r="1306" spans="1:1" x14ac:dyDescent="0.35">
      <c r="A1306" s="517" t="s">
        <v>4710</v>
      </c>
    </row>
    <row r="1307" spans="1:1" x14ac:dyDescent="0.35">
      <c r="A1307" s="517" t="s">
        <v>4711</v>
      </c>
    </row>
    <row r="1308" spans="1:1" x14ac:dyDescent="0.35">
      <c r="A1308" s="517" t="s">
        <v>4712</v>
      </c>
    </row>
    <row r="1309" spans="1:1" x14ac:dyDescent="0.35">
      <c r="A1309" s="517" t="s">
        <v>4713</v>
      </c>
    </row>
    <row r="1310" spans="1:1" x14ac:dyDescent="0.35">
      <c r="A1310" s="517" t="s">
        <v>4714</v>
      </c>
    </row>
    <row r="1311" spans="1:1" x14ac:dyDescent="0.35">
      <c r="A1311" s="517" t="s">
        <v>4715</v>
      </c>
    </row>
    <row r="1312" spans="1:1" x14ac:dyDescent="0.35">
      <c r="A1312" s="517" t="s">
        <v>4716</v>
      </c>
    </row>
    <row r="1313" spans="1:1" x14ac:dyDescent="0.35">
      <c r="A1313" s="517" t="s">
        <v>4717</v>
      </c>
    </row>
    <row r="1314" spans="1:1" x14ac:dyDescent="0.35">
      <c r="A1314" s="517" t="s">
        <v>4718</v>
      </c>
    </row>
    <row r="1315" spans="1:1" x14ac:dyDescent="0.35">
      <c r="A1315" s="517" t="s">
        <v>4719</v>
      </c>
    </row>
    <row r="1316" spans="1:1" x14ac:dyDescent="0.35">
      <c r="A1316" s="517" t="s">
        <v>4720</v>
      </c>
    </row>
    <row r="1317" spans="1:1" x14ac:dyDescent="0.35">
      <c r="A1317" s="517" t="s">
        <v>4721</v>
      </c>
    </row>
    <row r="1318" spans="1:1" x14ac:dyDescent="0.35">
      <c r="A1318" s="517" t="s">
        <v>4722</v>
      </c>
    </row>
    <row r="1319" spans="1:1" x14ac:dyDescent="0.35">
      <c r="A1319" s="517" t="s">
        <v>4723</v>
      </c>
    </row>
    <row r="1320" spans="1:1" x14ac:dyDescent="0.35">
      <c r="A1320" s="517" t="s">
        <v>4724</v>
      </c>
    </row>
    <row r="1321" spans="1:1" x14ac:dyDescent="0.35">
      <c r="A1321" s="517" t="s">
        <v>4725</v>
      </c>
    </row>
    <row r="1322" spans="1:1" x14ac:dyDescent="0.35">
      <c r="A1322" s="517" t="s">
        <v>4726</v>
      </c>
    </row>
    <row r="1323" spans="1:1" x14ac:dyDescent="0.35">
      <c r="A1323" s="517" t="s">
        <v>4727</v>
      </c>
    </row>
    <row r="1324" spans="1:1" x14ac:dyDescent="0.35">
      <c r="A1324" s="517" t="s">
        <v>4728</v>
      </c>
    </row>
    <row r="1325" spans="1:1" x14ac:dyDescent="0.35">
      <c r="A1325" s="517" t="s">
        <v>4729</v>
      </c>
    </row>
    <row r="1326" spans="1:1" x14ac:dyDescent="0.35">
      <c r="A1326" s="517" t="s">
        <v>4730</v>
      </c>
    </row>
    <row r="1327" spans="1:1" x14ac:dyDescent="0.35">
      <c r="A1327" s="517" t="s">
        <v>4731</v>
      </c>
    </row>
    <row r="1328" spans="1:1" x14ac:dyDescent="0.35">
      <c r="A1328" s="517" t="s">
        <v>4732</v>
      </c>
    </row>
    <row r="1329" spans="1:1" x14ac:dyDescent="0.35">
      <c r="A1329" s="517" t="s">
        <v>4733</v>
      </c>
    </row>
    <row r="1330" spans="1:1" x14ac:dyDescent="0.35">
      <c r="A1330" s="517" t="s">
        <v>4734</v>
      </c>
    </row>
    <row r="1331" spans="1:1" x14ac:dyDescent="0.35">
      <c r="A1331" s="517" t="s">
        <v>4735</v>
      </c>
    </row>
    <row r="1332" spans="1:1" x14ac:dyDescent="0.35">
      <c r="A1332" s="517" t="s">
        <v>4736</v>
      </c>
    </row>
    <row r="1333" spans="1:1" x14ac:dyDescent="0.35">
      <c r="A1333" s="517" t="s">
        <v>4737</v>
      </c>
    </row>
    <row r="1334" spans="1:1" x14ac:dyDescent="0.35">
      <c r="A1334" s="517" t="s">
        <v>4738</v>
      </c>
    </row>
    <row r="1335" spans="1:1" x14ac:dyDescent="0.35">
      <c r="A1335" s="517" t="s">
        <v>4739</v>
      </c>
    </row>
    <row r="1336" spans="1:1" x14ac:dyDescent="0.35">
      <c r="A1336" s="517" t="s">
        <v>4740</v>
      </c>
    </row>
    <row r="1337" spans="1:1" x14ac:dyDescent="0.35">
      <c r="A1337" s="517" t="s">
        <v>4741</v>
      </c>
    </row>
    <row r="1338" spans="1:1" x14ac:dyDescent="0.35">
      <c r="A1338" s="517" t="s">
        <v>4742</v>
      </c>
    </row>
    <row r="1339" spans="1:1" x14ac:dyDescent="0.35">
      <c r="A1339" s="517" t="s">
        <v>4743</v>
      </c>
    </row>
    <row r="1340" spans="1:1" x14ac:dyDescent="0.35">
      <c r="A1340" s="517" t="s">
        <v>4744</v>
      </c>
    </row>
    <row r="1341" spans="1:1" x14ac:dyDescent="0.35">
      <c r="A1341" s="517" t="s">
        <v>4745</v>
      </c>
    </row>
    <row r="1342" spans="1:1" x14ac:dyDescent="0.35">
      <c r="A1342" s="517" t="s">
        <v>4746</v>
      </c>
    </row>
    <row r="1343" spans="1:1" x14ac:dyDescent="0.35">
      <c r="A1343" s="517" t="s">
        <v>4747</v>
      </c>
    </row>
    <row r="1344" spans="1:1" x14ac:dyDescent="0.35">
      <c r="A1344" s="517" t="s">
        <v>4748</v>
      </c>
    </row>
    <row r="1345" spans="1:1" x14ac:dyDescent="0.35">
      <c r="A1345" s="517" t="s">
        <v>4749</v>
      </c>
    </row>
    <row r="1346" spans="1:1" x14ac:dyDescent="0.35">
      <c r="A1346" s="517" t="s">
        <v>4750</v>
      </c>
    </row>
    <row r="1347" spans="1:1" x14ac:dyDescent="0.35">
      <c r="A1347" s="517" t="s">
        <v>4751</v>
      </c>
    </row>
    <row r="1348" spans="1:1" x14ac:dyDescent="0.35">
      <c r="A1348" s="517" t="s">
        <v>4752</v>
      </c>
    </row>
    <row r="1349" spans="1:1" x14ac:dyDescent="0.35">
      <c r="A1349" s="517" t="s">
        <v>4753</v>
      </c>
    </row>
    <row r="1350" spans="1:1" x14ac:dyDescent="0.35">
      <c r="A1350" s="517" t="s">
        <v>4754</v>
      </c>
    </row>
    <row r="1351" spans="1:1" x14ac:dyDescent="0.35">
      <c r="A1351" s="517" t="s">
        <v>4755</v>
      </c>
    </row>
    <row r="1352" spans="1:1" x14ac:dyDescent="0.35">
      <c r="A1352" s="517" t="s">
        <v>4756</v>
      </c>
    </row>
    <row r="1353" spans="1:1" x14ac:dyDescent="0.35">
      <c r="A1353" s="517" t="s">
        <v>4757</v>
      </c>
    </row>
    <row r="1354" spans="1:1" x14ac:dyDescent="0.35">
      <c r="A1354" s="517" t="s">
        <v>4758</v>
      </c>
    </row>
    <row r="1355" spans="1:1" x14ac:dyDescent="0.35">
      <c r="A1355" s="517" t="s">
        <v>4759</v>
      </c>
    </row>
    <row r="1356" spans="1:1" x14ac:dyDescent="0.35">
      <c r="A1356" s="517" t="s">
        <v>4760</v>
      </c>
    </row>
    <row r="1357" spans="1:1" x14ac:dyDescent="0.35">
      <c r="A1357" s="517" t="s">
        <v>4761</v>
      </c>
    </row>
    <row r="1358" spans="1:1" x14ac:dyDescent="0.35">
      <c r="A1358" s="517" t="s">
        <v>4762</v>
      </c>
    </row>
    <row r="1359" spans="1:1" x14ac:dyDescent="0.35">
      <c r="A1359" s="517" t="s">
        <v>4763</v>
      </c>
    </row>
    <row r="1360" spans="1:1" x14ac:dyDescent="0.35">
      <c r="A1360" s="517" t="s">
        <v>4764</v>
      </c>
    </row>
    <row r="1361" spans="1:1" x14ac:dyDescent="0.35">
      <c r="A1361" s="517" t="s">
        <v>4765</v>
      </c>
    </row>
    <row r="1362" spans="1:1" x14ac:dyDescent="0.35">
      <c r="A1362" s="517" t="s">
        <v>4766</v>
      </c>
    </row>
    <row r="1363" spans="1:1" x14ac:dyDescent="0.35">
      <c r="A1363" s="517" t="s">
        <v>4767</v>
      </c>
    </row>
    <row r="1364" spans="1:1" x14ac:dyDescent="0.35">
      <c r="A1364" s="517" t="s">
        <v>4768</v>
      </c>
    </row>
    <row r="1365" spans="1:1" x14ac:dyDescent="0.35">
      <c r="A1365" s="517" t="s">
        <v>4769</v>
      </c>
    </row>
    <row r="1366" spans="1:1" x14ac:dyDescent="0.35">
      <c r="A1366" s="517" t="s">
        <v>4770</v>
      </c>
    </row>
    <row r="1367" spans="1:1" x14ac:dyDescent="0.35">
      <c r="A1367" s="517" t="s">
        <v>4771</v>
      </c>
    </row>
    <row r="1368" spans="1:1" x14ac:dyDescent="0.35">
      <c r="A1368" s="517" t="s">
        <v>4772</v>
      </c>
    </row>
    <row r="1369" spans="1:1" x14ac:dyDescent="0.35">
      <c r="A1369" s="517" t="s">
        <v>4773</v>
      </c>
    </row>
    <row r="1370" spans="1:1" x14ac:dyDescent="0.35">
      <c r="A1370" s="517" t="s">
        <v>4774</v>
      </c>
    </row>
    <row r="1371" spans="1:1" x14ac:dyDescent="0.35">
      <c r="A1371" s="517" t="s">
        <v>4775</v>
      </c>
    </row>
    <row r="1372" spans="1:1" x14ac:dyDescent="0.35">
      <c r="A1372" s="517" t="s">
        <v>4776</v>
      </c>
    </row>
    <row r="1373" spans="1:1" x14ac:dyDescent="0.35">
      <c r="A1373" s="517" t="s">
        <v>4777</v>
      </c>
    </row>
    <row r="1374" spans="1:1" x14ac:dyDescent="0.35">
      <c r="A1374" s="517" t="s">
        <v>4778</v>
      </c>
    </row>
    <row r="1375" spans="1:1" x14ac:dyDescent="0.35">
      <c r="A1375" s="517" t="s">
        <v>4779</v>
      </c>
    </row>
    <row r="1376" spans="1:1" x14ac:dyDescent="0.35">
      <c r="A1376" s="517" t="s">
        <v>4780</v>
      </c>
    </row>
    <row r="1377" spans="1:1" x14ac:dyDescent="0.35">
      <c r="A1377" s="517" t="s">
        <v>4781</v>
      </c>
    </row>
    <row r="1378" spans="1:1" x14ac:dyDescent="0.35">
      <c r="A1378" s="517" t="s">
        <v>4782</v>
      </c>
    </row>
    <row r="1379" spans="1:1" x14ac:dyDescent="0.35">
      <c r="A1379" s="517" t="s">
        <v>4783</v>
      </c>
    </row>
    <row r="1380" spans="1:1" x14ac:dyDescent="0.35">
      <c r="A1380" s="517" t="s">
        <v>4784</v>
      </c>
    </row>
    <row r="1381" spans="1:1" x14ac:dyDescent="0.35">
      <c r="A1381" s="517" t="s">
        <v>4785</v>
      </c>
    </row>
    <row r="1382" spans="1:1" x14ac:dyDescent="0.35">
      <c r="A1382" s="517" t="s">
        <v>4786</v>
      </c>
    </row>
    <row r="1383" spans="1:1" x14ac:dyDescent="0.35">
      <c r="A1383" s="517" t="s">
        <v>4787</v>
      </c>
    </row>
    <row r="1384" spans="1:1" x14ac:dyDescent="0.35">
      <c r="A1384" s="517" t="s">
        <v>4788</v>
      </c>
    </row>
    <row r="1385" spans="1:1" x14ac:dyDescent="0.35">
      <c r="A1385" s="517" t="s">
        <v>4789</v>
      </c>
    </row>
    <row r="1386" spans="1:1" x14ac:dyDescent="0.35">
      <c r="A1386" s="517" t="s">
        <v>4790</v>
      </c>
    </row>
    <row r="1387" spans="1:1" x14ac:dyDescent="0.35">
      <c r="A1387" s="517" t="s">
        <v>4791</v>
      </c>
    </row>
    <row r="1388" spans="1:1" x14ac:dyDescent="0.35">
      <c r="A1388" s="517" t="s">
        <v>4792</v>
      </c>
    </row>
    <row r="1389" spans="1:1" x14ac:dyDescent="0.35">
      <c r="A1389" s="517" t="s">
        <v>4793</v>
      </c>
    </row>
    <row r="1390" spans="1:1" x14ac:dyDescent="0.35">
      <c r="A1390" s="517" t="s">
        <v>4794</v>
      </c>
    </row>
    <row r="1391" spans="1:1" x14ac:dyDescent="0.35">
      <c r="A1391" s="517" t="s">
        <v>4795</v>
      </c>
    </row>
    <row r="1392" spans="1:1" x14ac:dyDescent="0.35">
      <c r="A1392" s="517" t="s">
        <v>4796</v>
      </c>
    </row>
    <row r="1393" spans="1:1" x14ac:dyDescent="0.35">
      <c r="A1393" s="517" t="s">
        <v>4797</v>
      </c>
    </row>
    <row r="1394" spans="1:1" x14ac:dyDescent="0.35">
      <c r="A1394" s="517" t="s">
        <v>4798</v>
      </c>
    </row>
    <row r="1395" spans="1:1" x14ac:dyDescent="0.35">
      <c r="A1395" s="517" t="s">
        <v>4799</v>
      </c>
    </row>
    <row r="1396" spans="1:1" x14ac:dyDescent="0.35">
      <c r="A1396" s="517" t="s">
        <v>4800</v>
      </c>
    </row>
    <row r="1397" spans="1:1" x14ac:dyDescent="0.35">
      <c r="A1397" s="517" t="s">
        <v>4801</v>
      </c>
    </row>
    <row r="1398" spans="1:1" x14ac:dyDescent="0.35">
      <c r="A1398" s="517" t="s">
        <v>4802</v>
      </c>
    </row>
    <row r="1399" spans="1:1" x14ac:dyDescent="0.35">
      <c r="A1399" s="517" t="s">
        <v>4803</v>
      </c>
    </row>
    <row r="1400" spans="1:1" x14ac:dyDescent="0.35">
      <c r="A1400" s="517" t="s">
        <v>4804</v>
      </c>
    </row>
    <row r="1401" spans="1:1" x14ac:dyDescent="0.35">
      <c r="A1401" s="517" t="s">
        <v>4805</v>
      </c>
    </row>
    <row r="1402" spans="1:1" x14ac:dyDescent="0.35">
      <c r="A1402" s="517" t="s">
        <v>4806</v>
      </c>
    </row>
    <row r="1403" spans="1:1" x14ac:dyDescent="0.35">
      <c r="A1403" s="517" t="s">
        <v>4807</v>
      </c>
    </row>
    <row r="1404" spans="1:1" x14ac:dyDescent="0.35">
      <c r="A1404" s="517" t="s">
        <v>4808</v>
      </c>
    </row>
    <row r="1405" spans="1:1" x14ac:dyDescent="0.35">
      <c r="A1405" s="517" t="s">
        <v>4809</v>
      </c>
    </row>
    <row r="1406" spans="1:1" x14ac:dyDescent="0.35">
      <c r="A1406" s="517" t="s">
        <v>4810</v>
      </c>
    </row>
    <row r="1407" spans="1:1" x14ac:dyDescent="0.35">
      <c r="A1407" s="517" t="s">
        <v>4811</v>
      </c>
    </row>
    <row r="1408" spans="1:1" x14ac:dyDescent="0.35">
      <c r="A1408" s="517" t="s">
        <v>4812</v>
      </c>
    </row>
    <row r="1409" spans="1:3" x14ac:dyDescent="0.35">
      <c r="A1409" s="517" t="s">
        <v>4813</v>
      </c>
    </row>
    <row r="1410" spans="1:3" x14ac:dyDescent="0.35">
      <c r="A1410" s="517" t="s">
        <v>4814</v>
      </c>
    </row>
    <row r="1411" spans="1:3" x14ac:dyDescent="0.35">
      <c r="A1411" s="517" t="s">
        <v>4815</v>
      </c>
    </row>
    <row r="1412" spans="1:3" x14ac:dyDescent="0.35">
      <c r="A1412" s="517" t="s">
        <v>4816</v>
      </c>
    </row>
    <row r="1413" spans="1:3" x14ac:dyDescent="0.35">
      <c r="A1413" s="517" t="s">
        <v>4817</v>
      </c>
      <c r="B1413">
        <v>1</v>
      </c>
      <c r="C1413">
        <v>1</v>
      </c>
    </row>
    <row r="1414" spans="1:3" x14ac:dyDescent="0.35">
      <c r="A1414" s="517" t="s">
        <v>4818</v>
      </c>
      <c r="B1414">
        <v>1</v>
      </c>
      <c r="C1414">
        <v>1</v>
      </c>
    </row>
    <row r="1415" spans="1:3" x14ac:dyDescent="0.35">
      <c r="A1415" s="517" t="s">
        <v>4819</v>
      </c>
      <c r="B1415">
        <v>1</v>
      </c>
      <c r="C1415">
        <v>1</v>
      </c>
    </row>
    <row r="1416" spans="1:3" x14ac:dyDescent="0.35">
      <c r="A1416" s="517" t="s">
        <v>4820</v>
      </c>
      <c r="B1416">
        <v>1</v>
      </c>
      <c r="C1416">
        <v>1</v>
      </c>
    </row>
    <row r="1417" spans="1:3" x14ac:dyDescent="0.35">
      <c r="A1417" s="517" t="s">
        <v>4821</v>
      </c>
      <c r="B1417">
        <v>1</v>
      </c>
      <c r="C1417">
        <v>1</v>
      </c>
    </row>
    <row r="1418" spans="1:3" x14ac:dyDescent="0.35">
      <c r="A1418" s="517" t="s">
        <v>4822</v>
      </c>
      <c r="B1418">
        <v>1</v>
      </c>
      <c r="C1418">
        <v>1</v>
      </c>
    </row>
    <row r="1419" spans="1:3" x14ac:dyDescent="0.35">
      <c r="A1419" s="517" t="s">
        <v>4823</v>
      </c>
      <c r="B1419">
        <v>1</v>
      </c>
      <c r="C1419">
        <v>1</v>
      </c>
    </row>
    <row r="1420" spans="1:3" x14ac:dyDescent="0.35">
      <c r="A1420" s="517" t="s">
        <v>4824</v>
      </c>
      <c r="B1420">
        <v>1</v>
      </c>
      <c r="C1420">
        <v>1</v>
      </c>
    </row>
    <row r="1421" spans="1:3" x14ac:dyDescent="0.35">
      <c r="A1421" s="517" t="s">
        <v>4825</v>
      </c>
      <c r="B1421">
        <v>1</v>
      </c>
      <c r="C1421">
        <v>1</v>
      </c>
    </row>
    <row r="1422" spans="1:3" x14ac:dyDescent="0.35">
      <c r="A1422" s="517" t="s">
        <v>4826</v>
      </c>
      <c r="B1422">
        <v>1</v>
      </c>
      <c r="C1422">
        <v>1</v>
      </c>
    </row>
    <row r="1423" spans="1:3" x14ac:dyDescent="0.35">
      <c r="A1423" s="517" t="s">
        <v>4827</v>
      </c>
    </row>
    <row r="1424" spans="1:3" x14ac:dyDescent="0.35">
      <c r="A1424" s="517" t="s">
        <v>4828</v>
      </c>
    </row>
    <row r="1425" spans="1:3" x14ac:dyDescent="0.35">
      <c r="A1425" s="517" t="s">
        <v>4829</v>
      </c>
    </row>
    <row r="1426" spans="1:3" x14ac:dyDescent="0.35">
      <c r="A1426" s="517" t="s">
        <v>4830</v>
      </c>
    </row>
    <row r="1427" spans="1:3" x14ac:dyDescent="0.35">
      <c r="A1427" s="517" t="s">
        <v>4831</v>
      </c>
    </row>
    <row r="1428" spans="1:3" x14ac:dyDescent="0.35">
      <c r="A1428" s="517" t="s">
        <v>4832</v>
      </c>
      <c r="B1428">
        <v>1</v>
      </c>
      <c r="C1428">
        <v>1</v>
      </c>
    </row>
    <row r="1429" spans="1:3" x14ac:dyDescent="0.35">
      <c r="A1429" s="517" t="s">
        <v>4833</v>
      </c>
      <c r="B1429">
        <v>1</v>
      </c>
      <c r="C1429">
        <v>1</v>
      </c>
    </row>
    <row r="1430" spans="1:3" x14ac:dyDescent="0.35">
      <c r="A1430" s="517" t="s">
        <v>4834</v>
      </c>
      <c r="B1430">
        <v>1</v>
      </c>
      <c r="C1430">
        <v>1</v>
      </c>
    </row>
    <row r="1431" spans="1:3" x14ac:dyDescent="0.35">
      <c r="A1431" s="517" t="s">
        <v>4835</v>
      </c>
      <c r="B1431">
        <v>1</v>
      </c>
      <c r="C1431">
        <v>1</v>
      </c>
    </row>
    <row r="1432" spans="1:3" x14ac:dyDescent="0.35">
      <c r="A1432" s="517" t="s">
        <v>4836</v>
      </c>
      <c r="B1432">
        <v>1</v>
      </c>
      <c r="C1432">
        <v>1</v>
      </c>
    </row>
    <row r="1433" spans="1:3" x14ac:dyDescent="0.35">
      <c r="A1433" s="517" t="s">
        <v>4837</v>
      </c>
      <c r="B1433">
        <v>1</v>
      </c>
      <c r="C1433">
        <v>1</v>
      </c>
    </row>
    <row r="1434" spans="1:3" x14ac:dyDescent="0.35">
      <c r="A1434" s="517" t="s">
        <v>4838</v>
      </c>
      <c r="B1434">
        <v>1</v>
      </c>
      <c r="C1434">
        <v>1</v>
      </c>
    </row>
    <row r="1435" spans="1:3" x14ac:dyDescent="0.35">
      <c r="A1435" s="517" t="s">
        <v>4839</v>
      </c>
      <c r="B1435">
        <v>1</v>
      </c>
      <c r="C1435">
        <v>1</v>
      </c>
    </row>
    <row r="1436" spans="1:3" x14ac:dyDescent="0.35">
      <c r="A1436" s="517" t="s">
        <v>4840</v>
      </c>
      <c r="B1436">
        <v>1</v>
      </c>
      <c r="C1436">
        <v>1</v>
      </c>
    </row>
    <row r="1437" spans="1:3" x14ac:dyDescent="0.35">
      <c r="A1437" s="517" t="s">
        <v>4841</v>
      </c>
      <c r="B1437">
        <v>1</v>
      </c>
      <c r="C1437">
        <v>1</v>
      </c>
    </row>
    <row r="1438" spans="1:3" x14ac:dyDescent="0.35">
      <c r="A1438" s="517" t="s">
        <v>4842</v>
      </c>
      <c r="B1438">
        <v>1</v>
      </c>
      <c r="C1438">
        <v>1</v>
      </c>
    </row>
    <row r="1439" spans="1:3" x14ac:dyDescent="0.35">
      <c r="A1439" s="517" t="s">
        <v>4843</v>
      </c>
      <c r="B1439">
        <v>1</v>
      </c>
      <c r="C1439">
        <v>1</v>
      </c>
    </row>
    <row r="1440" spans="1:3" x14ac:dyDescent="0.35">
      <c r="A1440" s="517" t="s">
        <v>4844</v>
      </c>
      <c r="B1440">
        <v>1</v>
      </c>
      <c r="C1440">
        <v>1</v>
      </c>
    </row>
    <row r="1441" spans="1:3" x14ac:dyDescent="0.35">
      <c r="A1441" s="517" t="s">
        <v>4845</v>
      </c>
      <c r="B1441">
        <v>1</v>
      </c>
      <c r="C1441">
        <v>1</v>
      </c>
    </row>
    <row r="1442" spans="1:3" x14ac:dyDescent="0.35">
      <c r="A1442" s="517" t="s">
        <v>4846</v>
      </c>
      <c r="B1442">
        <v>1</v>
      </c>
      <c r="C1442">
        <v>1</v>
      </c>
    </row>
    <row r="1443" spans="1:3" x14ac:dyDescent="0.35">
      <c r="A1443" s="517" t="s">
        <v>4847</v>
      </c>
    </row>
    <row r="1444" spans="1:3" x14ac:dyDescent="0.35">
      <c r="A1444" s="517" t="s">
        <v>4848</v>
      </c>
    </row>
    <row r="1445" spans="1:3" x14ac:dyDescent="0.35">
      <c r="A1445" s="517" t="s">
        <v>4849</v>
      </c>
    </row>
    <row r="1446" spans="1:3" x14ac:dyDescent="0.35">
      <c r="A1446" s="517" t="s">
        <v>4850</v>
      </c>
    </row>
    <row r="1447" spans="1:3" x14ac:dyDescent="0.35">
      <c r="A1447" s="517" t="s">
        <v>4851</v>
      </c>
    </row>
    <row r="1448" spans="1:3" x14ac:dyDescent="0.35">
      <c r="A1448" s="517" t="s">
        <v>4852</v>
      </c>
    </row>
    <row r="1449" spans="1:3" x14ac:dyDescent="0.35">
      <c r="A1449" s="517" t="s">
        <v>4853</v>
      </c>
    </row>
    <row r="1450" spans="1:3" x14ac:dyDescent="0.35">
      <c r="A1450" s="517" t="s">
        <v>4854</v>
      </c>
    </row>
    <row r="1451" spans="1:3" x14ac:dyDescent="0.35">
      <c r="A1451" s="517" t="s">
        <v>4855</v>
      </c>
    </row>
    <row r="1452" spans="1:3" x14ac:dyDescent="0.35">
      <c r="A1452" s="517" t="s">
        <v>4856</v>
      </c>
    </row>
    <row r="1453" spans="1:3" x14ac:dyDescent="0.35">
      <c r="A1453" s="517" t="s">
        <v>4857</v>
      </c>
    </row>
    <row r="1454" spans="1:3" x14ac:dyDescent="0.35">
      <c r="A1454" s="517" t="s">
        <v>4858</v>
      </c>
    </row>
    <row r="1455" spans="1:3" x14ac:dyDescent="0.35">
      <c r="A1455" s="517" t="s">
        <v>4859</v>
      </c>
    </row>
    <row r="1456" spans="1:3" x14ac:dyDescent="0.35">
      <c r="A1456" s="517" t="s">
        <v>4860</v>
      </c>
    </row>
    <row r="1457" spans="1:1" x14ac:dyDescent="0.35">
      <c r="A1457" s="517" t="s">
        <v>4861</v>
      </c>
    </row>
    <row r="1458" spans="1:1" x14ac:dyDescent="0.35">
      <c r="A1458" s="517" t="s">
        <v>4862</v>
      </c>
    </row>
    <row r="1459" spans="1:1" x14ac:dyDescent="0.35">
      <c r="A1459" s="517" t="s">
        <v>4863</v>
      </c>
    </row>
    <row r="1460" spans="1:1" x14ac:dyDescent="0.35">
      <c r="A1460" s="517" t="s">
        <v>4864</v>
      </c>
    </row>
    <row r="1461" spans="1:1" x14ac:dyDescent="0.35">
      <c r="A1461" s="517" t="s">
        <v>4865</v>
      </c>
    </row>
    <row r="1462" spans="1:1" x14ac:dyDescent="0.35">
      <c r="A1462" s="517" t="s">
        <v>4866</v>
      </c>
    </row>
    <row r="1463" spans="1:1" x14ac:dyDescent="0.35">
      <c r="A1463" s="517" t="s">
        <v>4867</v>
      </c>
    </row>
    <row r="1464" spans="1:1" x14ac:dyDescent="0.35">
      <c r="A1464" s="517" t="s">
        <v>4868</v>
      </c>
    </row>
    <row r="1465" spans="1:1" x14ac:dyDescent="0.35">
      <c r="A1465" s="517" t="s">
        <v>4869</v>
      </c>
    </row>
    <row r="1466" spans="1:1" x14ac:dyDescent="0.35">
      <c r="A1466" s="517" t="s">
        <v>4870</v>
      </c>
    </row>
    <row r="1467" spans="1:1" x14ac:dyDescent="0.35">
      <c r="A1467" s="517" t="s">
        <v>4871</v>
      </c>
    </row>
    <row r="1468" spans="1:1" x14ac:dyDescent="0.35">
      <c r="A1468" s="517" t="s">
        <v>4872</v>
      </c>
    </row>
    <row r="1469" spans="1:1" x14ac:dyDescent="0.35">
      <c r="A1469" s="517" t="s">
        <v>4873</v>
      </c>
    </row>
    <row r="1470" spans="1:1" x14ac:dyDescent="0.35">
      <c r="A1470" s="517" t="s">
        <v>4874</v>
      </c>
    </row>
    <row r="1471" spans="1:1" x14ac:dyDescent="0.35">
      <c r="A1471" s="517" t="s">
        <v>4875</v>
      </c>
    </row>
    <row r="1472" spans="1:1" x14ac:dyDescent="0.35">
      <c r="A1472" s="517" t="s">
        <v>4876</v>
      </c>
    </row>
    <row r="1473" spans="1:1" x14ac:dyDescent="0.35">
      <c r="A1473" s="517" t="s">
        <v>4877</v>
      </c>
    </row>
    <row r="1474" spans="1:1" x14ac:dyDescent="0.35">
      <c r="A1474" s="517" t="s">
        <v>4878</v>
      </c>
    </row>
    <row r="1475" spans="1:1" x14ac:dyDescent="0.35">
      <c r="A1475" s="517" t="s">
        <v>4879</v>
      </c>
    </row>
    <row r="1476" spans="1:1" x14ac:dyDescent="0.35">
      <c r="A1476" s="517" t="s">
        <v>4880</v>
      </c>
    </row>
    <row r="1477" spans="1:1" x14ac:dyDescent="0.35">
      <c r="A1477" s="517" t="s">
        <v>4881</v>
      </c>
    </row>
    <row r="1478" spans="1:1" x14ac:dyDescent="0.35">
      <c r="A1478" s="517" t="s">
        <v>4882</v>
      </c>
    </row>
    <row r="1479" spans="1:1" x14ac:dyDescent="0.35">
      <c r="A1479" s="517" t="s">
        <v>4883</v>
      </c>
    </row>
    <row r="1480" spans="1:1" x14ac:dyDescent="0.35">
      <c r="A1480" s="517" t="s">
        <v>4884</v>
      </c>
    </row>
    <row r="1481" spans="1:1" x14ac:dyDescent="0.35">
      <c r="A1481" s="517" t="s">
        <v>4885</v>
      </c>
    </row>
    <row r="1482" spans="1:1" x14ac:dyDescent="0.35">
      <c r="A1482" s="517" t="s">
        <v>4886</v>
      </c>
    </row>
    <row r="1483" spans="1:1" x14ac:dyDescent="0.35">
      <c r="A1483" s="517" t="s">
        <v>4887</v>
      </c>
    </row>
    <row r="1484" spans="1:1" x14ac:dyDescent="0.35">
      <c r="A1484" s="517" t="s">
        <v>4888</v>
      </c>
    </row>
    <row r="1485" spans="1:1" x14ac:dyDescent="0.35">
      <c r="A1485" s="517" t="s">
        <v>4889</v>
      </c>
    </row>
    <row r="1486" spans="1:1" x14ac:dyDescent="0.35">
      <c r="A1486" s="517" t="s">
        <v>4890</v>
      </c>
    </row>
    <row r="1487" spans="1:1" x14ac:dyDescent="0.35">
      <c r="A1487" s="517" t="s">
        <v>4891</v>
      </c>
    </row>
    <row r="1488" spans="1:1" x14ac:dyDescent="0.35">
      <c r="A1488" s="517" t="s">
        <v>4892</v>
      </c>
    </row>
    <row r="1489" spans="1:3" x14ac:dyDescent="0.35">
      <c r="A1489" s="517" t="s">
        <v>4893</v>
      </c>
    </row>
    <row r="1490" spans="1:3" x14ac:dyDescent="0.35">
      <c r="A1490" s="517" t="s">
        <v>4894</v>
      </c>
    </row>
    <row r="1491" spans="1:3" x14ac:dyDescent="0.35">
      <c r="A1491" s="517" t="s">
        <v>4895</v>
      </c>
    </row>
    <row r="1492" spans="1:3" x14ac:dyDescent="0.35">
      <c r="A1492" s="517" t="s">
        <v>4896</v>
      </c>
    </row>
    <row r="1493" spans="1:3" x14ac:dyDescent="0.35">
      <c r="A1493" s="517" t="s">
        <v>4897</v>
      </c>
    </row>
    <row r="1494" spans="1:3" x14ac:dyDescent="0.35">
      <c r="A1494" s="517" t="s">
        <v>4898</v>
      </c>
    </row>
    <row r="1495" spans="1:3" x14ac:dyDescent="0.35">
      <c r="A1495" s="517" t="s">
        <v>4899</v>
      </c>
    </row>
    <row r="1496" spans="1:3" x14ac:dyDescent="0.35">
      <c r="A1496" s="517" t="s">
        <v>4900</v>
      </c>
    </row>
    <row r="1497" spans="1:3" x14ac:dyDescent="0.35">
      <c r="A1497" s="517" t="s">
        <v>4901</v>
      </c>
      <c r="B1497" t="b">
        <v>0</v>
      </c>
      <c r="C1497" t="b">
        <v>0</v>
      </c>
    </row>
    <row r="1498" spans="1:3" x14ac:dyDescent="0.35">
      <c r="A1498" s="517" t="s">
        <v>4902</v>
      </c>
    </row>
    <row r="1499" spans="1:3" x14ac:dyDescent="0.35">
      <c r="A1499" s="517" t="s">
        <v>4903</v>
      </c>
      <c r="B1499" t="b">
        <v>0</v>
      </c>
      <c r="C1499" t="b">
        <v>0</v>
      </c>
    </row>
    <row r="1500" spans="1:3" x14ac:dyDescent="0.35">
      <c r="A1500" s="517" t="s">
        <v>4904</v>
      </c>
    </row>
    <row r="1501" spans="1:3" x14ac:dyDescent="0.35">
      <c r="A1501" s="517" t="s">
        <v>4905</v>
      </c>
    </row>
    <row r="1502" spans="1:3" x14ac:dyDescent="0.35">
      <c r="A1502" s="517" t="s">
        <v>4906</v>
      </c>
    </row>
    <row r="1503" spans="1:3" x14ac:dyDescent="0.35">
      <c r="A1503" s="517" t="s">
        <v>4907</v>
      </c>
      <c r="B1503">
        <v>1</v>
      </c>
      <c r="C1503">
        <v>1</v>
      </c>
    </row>
    <row r="1504" spans="1:3" x14ac:dyDescent="0.35">
      <c r="A1504" s="517" t="s">
        <v>4908</v>
      </c>
      <c r="B1504" t="b">
        <v>0</v>
      </c>
      <c r="C1504" t="b">
        <v>0</v>
      </c>
    </row>
    <row r="1505" spans="1:3" x14ac:dyDescent="0.35">
      <c r="A1505" s="517" t="s">
        <v>4909</v>
      </c>
    </row>
    <row r="1506" spans="1:3" x14ac:dyDescent="0.35">
      <c r="A1506" s="517" t="s">
        <v>4910</v>
      </c>
      <c r="B1506">
        <v>0</v>
      </c>
      <c r="C1506">
        <v>0</v>
      </c>
    </row>
    <row r="1507" spans="1:3" x14ac:dyDescent="0.35">
      <c r="A1507" s="517" t="s">
        <v>4911</v>
      </c>
      <c r="B1507" t="b">
        <v>0</v>
      </c>
      <c r="C1507" t="b">
        <v>0</v>
      </c>
    </row>
    <row r="1508" spans="1:3" x14ac:dyDescent="0.35">
      <c r="A1508" s="517" t="s">
        <v>4912</v>
      </c>
    </row>
    <row r="1509" spans="1:3" x14ac:dyDescent="0.35">
      <c r="A1509" s="517" t="s">
        <v>4913</v>
      </c>
      <c r="B1509" t="b">
        <v>0</v>
      </c>
      <c r="C1509" t="b">
        <v>0</v>
      </c>
    </row>
    <row r="1510" spans="1:3" x14ac:dyDescent="0.35">
      <c r="A1510" s="517" t="s">
        <v>4914</v>
      </c>
    </row>
    <row r="1511" spans="1:3" x14ac:dyDescent="0.35">
      <c r="A1511" s="517" t="s">
        <v>4915</v>
      </c>
    </row>
    <row r="1512" spans="1:3" x14ac:dyDescent="0.35">
      <c r="A1512" s="517" t="s">
        <v>4916</v>
      </c>
    </row>
    <row r="1513" spans="1:3" x14ac:dyDescent="0.35">
      <c r="A1513" s="517" t="s">
        <v>4917</v>
      </c>
    </row>
    <row r="1514" spans="1:3" x14ac:dyDescent="0.35">
      <c r="A1514" s="517" t="s">
        <v>4918</v>
      </c>
    </row>
    <row r="1515" spans="1:3" x14ac:dyDescent="0.35">
      <c r="A1515" s="517" t="s">
        <v>4919</v>
      </c>
    </row>
    <row r="1516" spans="1:3" x14ac:dyDescent="0.35">
      <c r="A1516" s="517" t="s">
        <v>4920</v>
      </c>
      <c r="B1516" t="b">
        <v>0</v>
      </c>
      <c r="C1516" t="b">
        <v>0</v>
      </c>
    </row>
    <row r="1517" spans="1:3" x14ac:dyDescent="0.35">
      <c r="A1517" s="517" t="s">
        <v>4921</v>
      </c>
      <c r="B1517">
        <v>1</v>
      </c>
      <c r="C1517">
        <v>1</v>
      </c>
    </row>
    <row r="1518" spans="1:3" x14ac:dyDescent="0.35">
      <c r="A1518" s="517" t="s">
        <v>4922</v>
      </c>
      <c r="B1518">
        <v>1</v>
      </c>
      <c r="C1518">
        <v>1</v>
      </c>
    </row>
    <row r="1519" spans="1:3" x14ac:dyDescent="0.35">
      <c r="A1519" s="517" t="s">
        <v>4923</v>
      </c>
    </row>
    <row r="1520" spans="1:3" x14ac:dyDescent="0.35">
      <c r="A1520" s="517" t="s">
        <v>4924</v>
      </c>
      <c r="B1520">
        <v>1</v>
      </c>
      <c r="C1520">
        <v>1</v>
      </c>
    </row>
    <row r="1521" spans="1:3" x14ac:dyDescent="0.35">
      <c r="A1521" s="517" t="s">
        <v>4925</v>
      </c>
      <c r="B1521">
        <v>0</v>
      </c>
      <c r="C1521">
        <v>0</v>
      </c>
    </row>
    <row r="1522" spans="1:3" x14ac:dyDescent="0.35">
      <c r="A1522" s="517" t="s">
        <v>4926</v>
      </c>
      <c r="B1522" t="b">
        <v>0</v>
      </c>
      <c r="C1522" t="b">
        <v>0</v>
      </c>
    </row>
    <row r="1523" spans="1:3" x14ac:dyDescent="0.35">
      <c r="A1523" s="517" t="s">
        <v>4927</v>
      </c>
      <c r="B1523">
        <v>1</v>
      </c>
      <c r="C1523">
        <v>1</v>
      </c>
    </row>
    <row r="1524" spans="1:3" x14ac:dyDescent="0.35">
      <c r="A1524" s="517" t="s">
        <v>4928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9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J10"/>
  <sheetViews>
    <sheetView workbookViewId="0">
      <selection activeCell="J2" sqref="J2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19.73046875" customWidth="1"/>
  </cols>
  <sheetData>
    <row r="1" spans="1:10" x14ac:dyDescent="0.35">
      <c r="A1" s="577" t="s">
        <v>403</v>
      </c>
      <c r="B1" t="s">
        <v>228</v>
      </c>
      <c r="C1" t="s">
        <v>229</v>
      </c>
      <c r="D1" t="s">
        <v>230</v>
      </c>
      <c r="E1" t="s">
        <v>231</v>
      </c>
      <c r="F1" t="s">
        <v>232</v>
      </c>
      <c r="G1" t="s">
        <v>297</v>
      </c>
      <c r="H1" t="s">
        <v>142</v>
      </c>
      <c r="I1" t="s">
        <v>472</v>
      </c>
      <c r="J1" s="518" t="s">
        <v>550</v>
      </c>
    </row>
    <row r="2" spans="1:10" x14ac:dyDescent="0.35">
      <c r="A2">
        <v>123456</v>
      </c>
      <c r="B2" s="30">
        <f ca="1" xml:space="preserve"> TODAY()</f>
        <v>42736</v>
      </c>
      <c r="C2" s="30">
        <v>42736</v>
      </c>
      <c r="D2" t="s">
        <v>5072</v>
      </c>
      <c r="E2" t="s">
        <v>5072</v>
      </c>
      <c r="F2" s="30">
        <v>42736</v>
      </c>
      <c r="G2" s="188">
        <v>100</v>
      </c>
      <c r="H2">
        <v>80</v>
      </c>
      <c r="I2" s="237">
        <v>42736.917094907411</v>
      </c>
      <c r="J2" t="s">
        <v>5002</v>
      </c>
    </row>
    <row r="3" spans="1:10" x14ac:dyDescent="0.35">
      <c r="C3" s="7"/>
      <c r="D3" s="7"/>
      <c r="E3" s="7"/>
      <c r="G3" s="7"/>
    </row>
    <row r="4" spans="1:10" x14ac:dyDescent="0.35">
      <c r="C4" s="7"/>
      <c r="D4" s="7"/>
      <c r="E4" s="7"/>
      <c r="G4" s="7"/>
    </row>
    <row r="6" spans="1:10" x14ac:dyDescent="0.35">
      <c r="A6" s="577"/>
    </row>
    <row r="8" spans="1:10" x14ac:dyDescent="0.35">
      <c r="E8" s="267"/>
    </row>
    <row r="10" spans="1:10" x14ac:dyDescent="0.35">
      <c r="E10" s="267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D92"/>
  <sheetViews>
    <sheetView tabSelected="1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10.265625" style="18" customWidth="1"/>
    <col min="2" max="2" width="3" style="18" bestFit="1" customWidth="1"/>
    <col min="3" max="3" width="27" style="18" customWidth="1"/>
    <col min="4" max="4" width="13.3984375" style="18" customWidth="1"/>
    <col min="5" max="5" width="11.1328125" style="18" customWidth="1"/>
    <col min="6" max="6" width="11" style="18" customWidth="1"/>
    <col min="7" max="7" width="16.59765625" style="18" customWidth="1"/>
    <col min="8" max="8" width="20.1328125" style="18" customWidth="1"/>
    <col min="9" max="9" width="13.265625" style="18" customWidth="1"/>
    <col min="10" max="10" width="9.1328125" style="18"/>
    <col min="11" max="11" width="12.73046875" style="18" customWidth="1"/>
    <col min="12" max="13" width="9.1328125" style="18"/>
    <col min="14" max="15" width="9.3984375" style="18" bestFit="1" customWidth="1"/>
    <col min="16" max="16384" width="9.1328125" style="18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328</v>
      </c>
      <c r="D2" s="253">
        <f ca="1">Var_AfspraakDatum</f>
        <v>42736</v>
      </c>
      <c r="E2" s="254"/>
      <c r="F2" s="252" t="s">
        <v>329</v>
      </c>
      <c r="G2" s="250"/>
      <c r="H2" s="255">
        <f>_Pat_OpnDatum</f>
        <v>42736</v>
      </c>
      <c r="I2" s="252" t="str">
        <f ca="1">"ICU-dag: "&amp;Var_AfspraakDatum-_Pat_OpnDatum+1</f>
        <v>ICU-dag: 1</v>
      </c>
      <c r="J2" s="258" t="str">
        <f>"Gewicht: "&amp;_Pat_Gewicht/10&amp;"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>Test, Test</v>
      </c>
      <c r="E3" s="257"/>
      <c r="F3" s="252" t="s">
        <v>336</v>
      </c>
      <c r="G3" s="250"/>
      <c r="H3" s="255">
        <f>__4_GebDatum</f>
        <v>42736</v>
      </c>
      <c r="J3" s="258" t="str">
        <f>"Lengte: "&amp;_Pat_Lengte&amp;"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371</v>
      </c>
      <c r="D4" s="865">
        <f>__0_PatNum</f>
        <v>123456</v>
      </c>
      <c r="E4" s="254"/>
      <c r="F4" s="252" t="s">
        <v>298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0 jaar en 0 maand(-en)</v>
      </c>
      <c r="I4" s="252"/>
      <c r="J4" s="252" t="str">
        <f>"Lichamelijk oppervlak: "&amp;ROUND(POWER(_Pat_Gewicht/10,0.425)*POWER(((_Pat_Lengte/100)*100),0.725)*0.007184,2)&amp;"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551</v>
      </c>
      <c r="D5" s="268" t="str">
        <f>__1_Bed</f>
        <v>Unit 1.2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ht="13.2" x14ac:dyDescent="0.4">
      <c r="A6" s="592"/>
      <c r="B6" s="140"/>
      <c r="C6" s="71"/>
      <c r="D6" s="145"/>
      <c r="E6" s="63"/>
      <c r="F6" s="71"/>
      <c r="G6" s="146"/>
      <c r="H6" s="71"/>
      <c r="I6" s="71"/>
      <c r="J6" s="71"/>
      <c r="K6" s="71"/>
      <c r="L6" s="71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249"/>
      <c r="AA6" s="249"/>
      <c r="AB6" s="262"/>
      <c r="AC6" s="262"/>
      <c r="AD6" s="249"/>
      <c r="AE6" s="249"/>
      <c r="AF6" s="249"/>
      <c r="AG6" s="249"/>
      <c r="AH6" s="249"/>
      <c r="AI6" s="249"/>
      <c r="AJ6" s="249"/>
      <c r="AK6" s="249"/>
      <c r="AL6" s="249"/>
      <c r="AM6" s="249"/>
      <c r="AN6" s="249"/>
      <c r="AO6" s="24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</row>
    <row r="7" spans="1:82" ht="13.2" x14ac:dyDescent="0.4">
      <c r="A7" s="132"/>
      <c r="B7" s="140"/>
      <c r="C7" s="143" t="s">
        <v>355</v>
      </c>
      <c r="D7" s="158" t="s">
        <v>222</v>
      </c>
      <c r="E7" s="143" t="s">
        <v>165</v>
      </c>
      <c r="F7" s="159"/>
      <c r="G7" s="143" t="s">
        <v>52</v>
      </c>
      <c r="H7" s="143" t="s">
        <v>356</v>
      </c>
      <c r="I7" s="143"/>
      <c r="J7" s="143" t="s">
        <v>335</v>
      </c>
      <c r="K7" s="143" t="s">
        <v>352</v>
      </c>
      <c r="L7" s="160"/>
      <c r="M7" s="143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131"/>
      <c r="AA7" s="249"/>
      <c r="AB7" s="131"/>
      <c r="AC7" s="131"/>
      <c r="AD7" s="131"/>
      <c r="AE7" s="131"/>
      <c r="AF7" s="249"/>
      <c r="AG7" s="249"/>
      <c r="AH7" s="249"/>
      <c r="AI7" s="249"/>
      <c r="AJ7" s="249"/>
      <c r="AK7" s="249"/>
      <c r="AL7" s="249"/>
      <c r="AM7" s="249"/>
      <c r="AN7" s="249"/>
      <c r="AO7" s="24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</row>
    <row r="8" spans="1:82" ht="6.8" customHeight="1" x14ac:dyDescent="0.35">
      <c r="A8" s="132"/>
      <c r="B8" s="140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131"/>
      <c r="AA8" s="249"/>
      <c r="AB8" s="131"/>
      <c r="AC8" s="131"/>
      <c r="AD8" s="131"/>
      <c r="AE8" s="131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</row>
    <row r="9" spans="1:82" ht="20.100000000000001" customHeight="1" x14ac:dyDescent="0.4">
      <c r="A9" s="132"/>
      <c r="B9" s="140">
        <v>1</v>
      </c>
      <c r="C9" s="265">
        <f>INDEX(tblMedicationContIV,PedBerMedIV!$B3,1)</f>
        <v>0</v>
      </c>
      <c r="D9" s="161" t="str">
        <f>INDEX(tblBerMedContIV,2,5)&amp;" "&amp;INDEX(tblMedicationContIV,PedBerMedIV!$B3,4)</f>
        <v xml:space="preserve"> </v>
      </c>
      <c r="E9" s="149" t="str">
        <f>IF(AND(C9&lt;&gt;0,INDEX(tblBerMedContIV,2,6)&lt;&gt;""),INDEX(tblBerMedContIV,2,6)&amp;" ml","")</f>
        <v/>
      </c>
      <c r="F9" s="142">
        <f>INDEX(tblOplossing,PedBerMedIV!I3,1)</f>
        <v>0</v>
      </c>
      <c r="G9" s="149" t="str">
        <f>IF(C9&lt;&gt;0,PedBerMedIV!J3/10&amp;" ml/uur","")</f>
        <v/>
      </c>
      <c r="H9" s="149">
        <f>IF(C9&lt;&gt;0,(PedBerMedIV!J3/10)*INDEX(tblBerMedContIV,2,7),0)</f>
        <v>0</v>
      </c>
      <c r="I9" s="149">
        <f>INDEX(tblMedicationContIV,PedBerMedIV!$B3,2)</f>
        <v>0</v>
      </c>
      <c r="J9" s="150" t="str">
        <f>IF(C9&lt;&gt;0,24*PedBerMedIV!J3/10&amp;" ml","")</f>
        <v/>
      </c>
      <c r="K9" s="167">
        <f>INDEX(tblMedicationContIV,PedBerMedIV!$B3,3)</f>
        <v>0</v>
      </c>
      <c r="L9" s="150"/>
      <c r="M9" s="150"/>
      <c r="N9" s="610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131"/>
      <c r="AA9" s="249"/>
      <c r="AB9" s="131" t="b">
        <f>IF(C9&lt;&gt;0,INDEX(tblMedicationContIV,PedBerMedIV!$B3,6)*(PedBerMedIV!J3/10))</f>
        <v>0</v>
      </c>
      <c r="AC9" s="131">
        <f>IF(AB9&gt;=10,0,IF(AB9&gt;=1,1,IF(AB9&gt;=0,2,IF(AB9&gt;=0.1,3,IF(AB9&gt;=0.01,4,5)))))</f>
        <v>0</v>
      </c>
      <c r="AD9" s="131">
        <f>ROUND(AB9,AC9)</f>
        <v>0</v>
      </c>
      <c r="AE9" s="131"/>
      <c r="AF9" s="249"/>
      <c r="AG9" s="249"/>
      <c r="AH9" s="249"/>
      <c r="AI9" s="249"/>
      <c r="AJ9" s="249"/>
      <c r="AK9" s="249"/>
      <c r="AL9" s="249"/>
      <c r="AM9" s="249"/>
      <c r="AN9" s="249"/>
      <c r="AO9" s="24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</row>
    <row r="10" spans="1:82" ht="20.100000000000001" customHeight="1" x14ac:dyDescent="0.4">
      <c r="A10" s="132"/>
      <c r="B10" s="140">
        <v>2</v>
      </c>
      <c r="C10" s="265">
        <f>INDEX(tblMedicationContIV,PedBerMedIV!$B4,1)</f>
        <v>0</v>
      </c>
      <c r="D10" s="161" t="str">
        <f>INDEX(tblBerMedContIV,3,5)&amp;" "&amp;INDEX(tblMedicationContIV,PedBerMedIV!$B4,4)</f>
        <v xml:space="preserve"> </v>
      </c>
      <c r="E10" s="151" t="str">
        <f>IF(AND(C9&lt;&gt;0,INDEX(tblBerMedContIV,3,6)&lt;&gt;""),INDEX(tblBerMedContIV,3,6)&amp;" ml","")</f>
        <v/>
      </c>
      <c r="F10" s="142">
        <f>INDEX(tblOplossing,PedBerMedIV!I4,1)</f>
        <v>0</v>
      </c>
      <c r="G10" s="151" t="str">
        <f>IF(C10&lt;&gt;0,PedBerMedIV!J4/10&amp;" ml/uur","")</f>
        <v/>
      </c>
      <c r="H10" s="149">
        <f>IF(C10&lt;&gt;0,(PedBerMedIV!J4/10)*INDEX(tblBerMedContIV,3,7),0)</f>
        <v>0</v>
      </c>
      <c r="I10" s="149">
        <f>INDEX(tblMedicationContIV,PedBerMedIV!$B4,2)</f>
        <v>0</v>
      </c>
      <c r="J10" s="152" t="str">
        <f>IF(C10&lt;&gt;0,24*PedBerMedIV!J4/10&amp;" ml","")</f>
        <v/>
      </c>
      <c r="K10" s="168">
        <f>INDEX(tblMedicationContIV,PedBerMedIV!$B4,3)</f>
        <v>0</v>
      </c>
      <c r="L10" s="152"/>
      <c r="M10" s="152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131"/>
      <c r="AA10" s="249"/>
      <c r="AB10" s="131" t="b">
        <f>IF(C10&lt;&gt;0,INDEX(tblMedicationContIV,PedBerMedIV!$B4,6)*(PedBerMedIV!J4/10))</f>
        <v>0</v>
      </c>
      <c r="AC10" s="131">
        <f t="shared" ref="AC10:AC18" si="0">IF(AB10&gt;=10,0,IF(AB10&gt;=1,1,IF(AB10&gt;=0,2,IF(AB10&gt;=0.1,3,IF(AB10&gt;=0.01,4,5)))))</f>
        <v>0</v>
      </c>
      <c r="AD10" s="131">
        <f t="shared" ref="AD10:AD18" si="1">ROUND(AB10,AC10)</f>
        <v>0</v>
      </c>
      <c r="AE10" s="131"/>
      <c r="AF10" s="249"/>
      <c r="AG10" s="249"/>
      <c r="AH10" s="249"/>
      <c r="AI10" s="249"/>
      <c r="AJ10" s="249"/>
      <c r="AK10" s="249"/>
      <c r="AL10" s="249"/>
      <c r="AM10" s="249"/>
      <c r="AN10" s="249"/>
      <c r="AO10" s="24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</row>
    <row r="11" spans="1:82" ht="20.100000000000001" customHeight="1" x14ac:dyDescent="0.4">
      <c r="A11" s="132"/>
      <c r="B11" s="140">
        <v>3</v>
      </c>
      <c r="C11" s="265">
        <f>INDEX(tblMedicationContIV,PedBerMedIV!$B5,1)</f>
        <v>0</v>
      </c>
      <c r="D11" s="161" t="str">
        <f>INDEX(tblBerMedContIV,4,5)&amp;" "&amp;INDEX(tblMedicationContIV,PedBerMedIV!$B5,4)</f>
        <v xml:space="preserve"> </v>
      </c>
      <c r="E11" s="151" t="str">
        <f>IF(AND(C9&lt;&gt;0,INDEX(tblBerMedContIV,4,6)&lt;&gt;""),INDEX(tblBerMedContIV,4,6)&amp;" ml","")</f>
        <v/>
      </c>
      <c r="F11" s="142">
        <f>INDEX(tblOplossing,PedBerMedIV!I5,1)</f>
        <v>0</v>
      </c>
      <c r="G11" s="151" t="str">
        <f>IF(C11&lt;&gt;0,PedBerMedIV!J5/10&amp;" ml/uur","")</f>
        <v/>
      </c>
      <c r="H11" s="149">
        <f>IF(C11&lt;&gt;0,(PedBerMedIV!J5/10)*INDEX(tblBerMedContIV,4,7),0)</f>
        <v>0</v>
      </c>
      <c r="I11" s="149">
        <f>INDEX(tblMedicationContIV,PedBerMedIV!$B5,2)</f>
        <v>0</v>
      </c>
      <c r="J11" s="152" t="str">
        <f>IF(C11&lt;&gt;0,24*PedBerMedIV!J5/10&amp;" ml","")</f>
        <v/>
      </c>
      <c r="K11" s="168">
        <f>INDEX(tblMedicationContIV,PedBerMedIV!$B5,3)</f>
        <v>0</v>
      </c>
      <c r="L11" s="152"/>
      <c r="M11" s="152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131"/>
      <c r="AA11" s="249"/>
      <c r="AB11" s="131" t="b">
        <f>IF(C11&lt;&gt;0,INDEX(tblMedicationContIV,PedBerMedIV!$B5,6)*(PedBerMedIV!J5/10))</f>
        <v>0</v>
      </c>
      <c r="AC11" s="131">
        <f t="shared" si="0"/>
        <v>0</v>
      </c>
      <c r="AD11" s="131">
        <f t="shared" si="1"/>
        <v>0</v>
      </c>
      <c r="AE11" s="131"/>
      <c r="AF11" s="249"/>
      <c r="AG11" s="249"/>
      <c r="AH11" s="249"/>
      <c r="AI11" s="249"/>
      <c r="AJ11" s="249"/>
      <c r="AK11" s="249"/>
      <c r="AL11" s="249"/>
      <c r="AM11" s="249"/>
      <c r="AN11" s="249"/>
      <c r="AO11" s="24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</row>
    <row r="12" spans="1:82" ht="20.100000000000001" customHeight="1" x14ac:dyDescent="0.4">
      <c r="A12" s="132"/>
      <c r="B12" s="140">
        <v>4</v>
      </c>
      <c r="C12" s="265">
        <f>INDEX(tblMedicationContIV,PedBerMedIV!$B6,1)</f>
        <v>0</v>
      </c>
      <c r="D12" s="161" t="str">
        <f>INDEX(tblBerMedContIV,5,5)&amp;" "&amp;INDEX(tblMedicationContIV,PedBerMedIV!$B6,4)</f>
        <v xml:space="preserve"> </v>
      </c>
      <c r="E12" s="151" t="str">
        <f>IF(AND(C9&lt;&gt;0,INDEX(tblBerMedContIV,5,6)&lt;&gt;""),INDEX(tblBerMedContIV,5,6)&amp;" ml","")</f>
        <v/>
      </c>
      <c r="F12" s="142">
        <f>INDEX(tblOplossing,PedBerMedIV!I6,1)</f>
        <v>0</v>
      </c>
      <c r="G12" s="151" t="str">
        <f>IF(C12&lt;&gt;0,PedBerMedIV!J6/10&amp;" ml/uur","")</f>
        <v/>
      </c>
      <c r="H12" s="149">
        <f>IF(C12&lt;&gt;0,(PedBerMedIV!J6/10)*INDEX(tblBerMedContIV,5,7),0)</f>
        <v>0</v>
      </c>
      <c r="I12" s="149">
        <f>INDEX(tblMedicationContIV,PedBerMedIV!$B6,2)</f>
        <v>0</v>
      </c>
      <c r="J12" s="152" t="str">
        <f>IF(C12&lt;&gt;0,24*PedBerMedIV!J6/10&amp;" ml","")</f>
        <v/>
      </c>
      <c r="K12" s="168">
        <f>INDEX(tblMedicationContIV,PedBerMedIV!$B6,3)</f>
        <v>0</v>
      </c>
      <c r="L12" s="152"/>
      <c r="M12" s="152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131"/>
      <c r="AA12" s="249"/>
      <c r="AB12" s="131" t="b">
        <f>IF(C12&lt;&gt;0,INDEX(tblMedicationContIV,PedBerMedIV!$B6,6)*(PedBerMedIV!J6/10))</f>
        <v>0</v>
      </c>
      <c r="AC12" s="131">
        <f t="shared" si="0"/>
        <v>0</v>
      </c>
      <c r="AD12" s="131">
        <f t="shared" si="1"/>
        <v>0</v>
      </c>
      <c r="AE12" s="131"/>
      <c r="AF12" s="249"/>
      <c r="AG12" s="249"/>
      <c r="AH12" s="249"/>
      <c r="AI12" s="249"/>
      <c r="AJ12" s="249"/>
      <c r="AK12" s="249"/>
      <c r="AL12" s="249"/>
      <c r="AM12" s="249"/>
      <c r="AN12" s="249"/>
      <c r="AO12" s="24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</row>
    <row r="13" spans="1:82" ht="20.100000000000001" customHeight="1" x14ac:dyDescent="0.4">
      <c r="A13" s="132"/>
      <c r="B13" s="140">
        <v>5</v>
      </c>
      <c r="C13" s="265">
        <f>INDEX(tblMedicationContIV,PedBerMedIV!$B7,1)</f>
        <v>0</v>
      </c>
      <c r="D13" s="161" t="str">
        <f>INDEX(tblBerMedContIV,6,5)&amp;" "&amp;INDEX(tblMedicationContIV,PedBerMedIV!$B7,4)</f>
        <v xml:space="preserve"> </v>
      </c>
      <c r="E13" s="151" t="str">
        <f>IF(AND(C9&lt;&gt;0,INDEX(tblBerMedContIV,6,6)&lt;&gt;""),INDEX(tblBerMedContIV,6,6)&amp;" ml","")</f>
        <v/>
      </c>
      <c r="F13" s="142">
        <f>INDEX(tblOplossing,PedBerMedIV!I7,1)</f>
        <v>0</v>
      </c>
      <c r="G13" s="151" t="str">
        <f>IF(C13&lt;&gt;0,PedBerMedIV!J7/10&amp;" ml/uur","")</f>
        <v/>
      </c>
      <c r="H13" s="149">
        <f>IF(C13&lt;&gt;0,(PedBerMedIV!J7/10)*INDEX(tblBerMedContIV,6,7),0)</f>
        <v>0</v>
      </c>
      <c r="I13" s="149">
        <f>INDEX(tblMedicationContIV,PedBerMedIV!$B7,2)</f>
        <v>0</v>
      </c>
      <c r="J13" s="152" t="str">
        <f>IF(C13&lt;&gt;0,24*PedBerMedIV!J7/10&amp;" ml","")</f>
        <v/>
      </c>
      <c r="K13" s="168">
        <f>INDEX(tblMedicationContIV,PedBerMedIV!$B7,3)</f>
        <v>0</v>
      </c>
      <c r="L13" s="152"/>
      <c r="M13" s="152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131"/>
      <c r="AA13" s="249"/>
      <c r="AB13" s="131" t="b">
        <f>IF(C13&lt;&gt;0,INDEX(tblMedicationContIV,PedBerMedIV!$B7,6)*(PedBerMedIV!J7/10))</f>
        <v>0</v>
      </c>
      <c r="AC13" s="131">
        <f t="shared" si="0"/>
        <v>0</v>
      </c>
      <c r="AD13" s="131">
        <f t="shared" si="1"/>
        <v>0</v>
      </c>
      <c r="AE13" s="131"/>
      <c r="AF13" s="249"/>
      <c r="AG13" s="249"/>
      <c r="AH13" s="249"/>
      <c r="AI13" s="249"/>
      <c r="AJ13" s="249"/>
      <c r="AK13" s="249"/>
      <c r="AL13" s="249"/>
      <c r="AM13" s="249"/>
      <c r="AN13" s="249"/>
      <c r="AO13" s="24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</row>
    <row r="14" spans="1:82" ht="20.100000000000001" customHeight="1" x14ac:dyDescent="0.4">
      <c r="A14" s="132"/>
      <c r="B14" s="140">
        <v>6</v>
      </c>
      <c r="C14" s="265">
        <f>INDEX(tblMedicationContIV,PedBerMedIV!$B8,1)</f>
        <v>0</v>
      </c>
      <c r="D14" s="161" t="str">
        <f>INDEX(tblBerMedContIV,7,5)&amp;" "&amp;INDEX(tblMedicationContIV,PedBerMedIV!$B8,4)</f>
        <v xml:space="preserve"> </v>
      </c>
      <c r="E14" s="151" t="str">
        <f>IF(AND(C9&lt;&gt;0,INDEX(tblBerMedContIV,7,6)&lt;&gt;""),INDEX(tblBerMedContIV,7,6)&amp;" ml","")</f>
        <v/>
      </c>
      <c r="F14" s="142">
        <f>INDEX(tblOplossing,PedBerMedIV!I8,1)</f>
        <v>0</v>
      </c>
      <c r="G14" s="151" t="str">
        <f>IF(C14&lt;&gt;0,PedBerMedIV!J8/10&amp;" ml/uur","")</f>
        <v/>
      </c>
      <c r="H14" s="149">
        <f>IF(C14&lt;&gt;0,(PedBerMedIV!J8/10)*INDEX(tblBerMedContIV,7,7),0)</f>
        <v>0</v>
      </c>
      <c r="I14" s="149">
        <f>INDEX(tblMedicationContIV,PedBerMedIV!$B8,2)</f>
        <v>0</v>
      </c>
      <c r="J14" s="152" t="str">
        <f>IF(C14&lt;&gt;0,24*PedBerMedIV!J8/10&amp;" ml","")</f>
        <v/>
      </c>
      <c r="K14" s="168">
        <f>INDEX(tblMedicationContIV,PedBerMedIV!$B8,3)</f>
        <v>0</v>
      </c>
      <c r="L14" s="152"/>
      <c r="M14" s="152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131"/>
      <c r="AA14" s="249"/>
      <c r="AB14" s="131" t="b">
        <f>IF(C14&lt;&gt;0,INDEX(tblMedicationContIV,PedBerMedIV!$B8,6)*(PedBerMedIV!J8/10))</f>
        <v>0</v>
      </c>
      <c r="AC14" s="131">
        <f t="shared" si="0"/>
        <v>0</v>
      </c>
      <c r="AD14" s="131">
        <f t="shared" si="1"/>
        <v>0</v>
      </c>
      <c r="AE14" s="131"/>
      <c r="AF14" s="249"/>
      <c r="AG14" s="249"/>
      <c r="AH14" s="249"/>
      <c r="AI14" s="249"/>
      <c r="AJ14" s="249"/>
      <c r="AK14" s="249"/>
      <c r="AL14" s="249"/>
      <c r="AM14" s="249"/>
      <c r="AN14" s="249"/>
      <c r="AO14" s="24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</row>
    <row r="15" spans="1:82" ht="20.100000000000001" customHeight="1" x14ac:dyDescent="0.4">
      <c r="A15" s="132"/>
      <c r="B15" s="140">
        <v>7</v>
      </c>
      <c r="C15" s="265">
        <f>INDEX(tblMedicationContIV,PedBerMedIV!$B9,1)</f>
        <v>0</v>
      </c>
      <c r="D15" s="161" t="str">
        <f>INDEX(tblBerMedContIV,8,5)&amp;" "&amp;INDEX(tblMedicationContIV,PedBerMedIV!$B9,4)</f>
        <v xml:space="preserve"> </v>
      </c>
      <c r="E15" s="151" t="str">
        <f>IF(AND(C9&lt;&gt;0,INDEX(tblBerMedContIV,8,6)&lt;&gt;""),INDEX(tblBerMedContIV,8,6)&amp;" ml","")</f>
        <v/>
      </c>
      <c r="F15" s="142">
        <f>INDEX(tblOplossing,PedBerMedIV!I9,1)</f>
        <v>0</v>
      </c>
      <c r="G15" s="151" t="str">
        <f>IF(C15&lt;&gt;0,PedBerMedIV!J9/10&amp;" ml/uur","")</f>
        <v/>
      </c>
      <c r="H15" s="149">
        <f>IF(C15&lt;&gt;0,(PedBerMedIV!J9/10)*INDEX(tblBerMedContIV,8,7),0)</f>
        <v>0</v>
      </c>
      <c r="I15" s="149">
        <f>INDEX(tblMedicationContIV,PedBerMedIV!$B9,2)</f>
        <v>0</v>
      </c>
      <c r="J15" s="152" t="str">
        <f>IF(C15&lt;&gt;0,24*PedBerMedIV!J9/10&amp;" ml","")</f>
        <v/>
      </c>
      <c r="K15" s="168">
        <f>INDEX(tblMedicationContIV,PedBerMedIV!$B9,3)</f>
        <v>0</v>
      </c>
      <c r="L15" s="152"/>
      <c r="M15" s="152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131"/>
      <c r="AA15" s="249"/>
      <c r="AB15" s="131" t="b">
        <f>IF(C15&lt;&gt;0,INDEX(tblMedicationContIV,PedBerMedIV!$B9,6)*(PedBerMedIV!J9/10))</f>
        <v>0</v>
      </c>
      <c r="AC15" s="131">
        <f t="shared" si="0"/>
        <v>0</v>
      </c>
      <c r="AD15" s="131">
        <f t="shared" si="1"/>
        <v>0</v>
      </c>
      <c r="AE15" s="131"/>
      <c r="AF15" s="249"/>
      <c r="AG15" s="249"/>
      <c r="AH15" s="249"/>
      <c r="AI15" s="249"/>
      <c r="AJ15" s="249"/>
      <c r="AK15" s="249"/>
      <c r="AL15" s="249"/>
      <c r="AM15" s="249"/>
      <c r="AN15" s="249"/>
      <c r="AO15" s="24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</row>
    <row r="16" spans="1:82" ht="20.100000000000001" customHeight="1" x14ac:dyDescent="0.4">
      <c r="A16" s="132"/>
      <c r="B16" s="140">
        <v>8</v>
      </c>
      <c r="C16" s="265">
        <f>INDEX(tblMedicationContIV,PedBerMedIV!$B10,1)</f>
        <v>0</v>
      </c>
      <c r="D16" s="161" t="str">
        <f>INDEX(tblBerMedContIV,9,5)&amp;" "&amp;INDEX(tblMedicationContIV,PedBerMedIV!$B10,4)</f>
        <v xml:space="preserve"> </v>
      </c>
      <c r="E16" s="151" t="str">
        <f>IF(AND(C9&lt;&gt;0,INDEX(tblBerMedContIV,9,6)&lt;&gt;""),INDEX(tblBerMedContIV,9,6)&amp;" ml","")</f>
        <v/>
      </c>
      <c r="F16" s="142">
        <f>INDEX(tblOplossing,PedBerMedIV!I10,1)</f>
        <v>0</v>
      </c>
      <c r="G16" s="151" t="str">
        <f>IF(C16&lt;&gt;0,PedBerMedIV!J10/10&amp;" ml/uur","")</f>
        <v/>
      </c>
      <c r="H16" s="149">
        <f>IF(C16&lt;&gt;0,(PedBerMedIV!J10/10)*INDEX(tblBerMedContIV,9,7),0)</f>
        <v>0</v>
      </c>
      <c r="I16" s="149">
        <f>INDEX(tblMedicationContIV,PedBerMedIV!$B10,2)</f>
        <v>0</v>
      </c>
      <c r="J16" s="152" t="str">
        <f>IF(C16&lt;&gt;0,24*PedBerMedIV!J10/10&amp;" ml","")</f>
        <v/>
      </c>
      <c r="K16" s="168">
        <f>INDEX(tblMedicationContIV,PedBerMedIV!$B10,3)</f>
        <v>0</v>
      </c>
      <c r="L16" s="152"/>
      <c r="M16" s="152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131"/>
      <c r="AA16" s="249"/>
      <c r="AB16" s="131" t="b">
        <f>IF(C16&lt;&gt;0,INDEX(tblMedicationContIV,PedBerMedIV!$B10,6)*(PedBerMedIV!J10/10))</f>
        <v>0</v>
      </c>
      <c r="AC16" s="131">
        <f t="shared" si="0"/>
        <v>0</v>
      </c>
      <c r="AD16" s="131">
        <f t="shared" si="1"/>
        <v>0</v>
      </c>
      <c r="AE16" s="131"/>
      <c r="AF16" s="249"/>
      <c r="AG16" s="249"/>
      <c r="AH16" s="249"/>
      <c r="AI16" s="249"/>
      <c r="AJ16" s="249"/>
      <c r="AK16" s="249"/>
      <c r="AL16" s="249"/>
      <c r="AM16" s="249"/>
      <c r="AN16" s="249"/>
      <c r="AO16" s="24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</row>
    <row r="17" spans="1:82" ht="20.100000000000001" customHeight="1" x14ac:dyDescent="0.4">
      <c r="A17" s="132"/>
      <c r="B17" s="140">
        <v>9</v>
      </c>
      <c r="C17" s="265">
        <f>INDEX(tblMedicationContIV,PedBerMedIV!$B11,1)</f>
        <v>0</v>
      </c>
      <c r="D17" s="161" t="str">
        <f>INDEX(tblBerMedContIV,10,5)&amp;" "&amp;INDEX(tblMedicationContIV,PedBerMedIV!$B11,4)</f>
        <v xml:space="preserve"> </v>
      </c>
      <c r="E17" s="151" t="str">
        <f>IF(AND(C9&lt;&gt;0,INDEX(tblBerMedContIV,10,6)&lt;&gt;""),INDEX(tblBerMedContIV,10,6)&amp;" ml","")</f>
        <v/>
      </c>
      <c r="F17" s="142">
        <f>INDEX(tblOplossing,PedBerMedIV!I11,1)</f>
        <v>0</v>
      </c>
      <c r="G17" s="151" t="str">
        <f>IF(C17&lt;&gt;0,PedBerMedIV!J11/10&amp;" ml/uur","")</f>
        <v/>
      </c>
      <c r="H17" s="149">
        <f>IF(C17&lt;&gt;0,(PedBerMedIV!J11/10)*INDEX(tblBerMedContIV,10,7),0)</f>
        <v>0</v>
      </c>
      <c r="I17" s="149">
        <f>INDEX(tblMedicationContIV,PedBerMedIV!$B11,2)</f>
        <v>0</v>
      </c>
      <c r="J17" s="152" t="str">
        <f>IF(C17&lt;&gt;0,24*PedBerMedIV!J11/10&amp;" ml","")</f>
        <v/>
      </c>
      <c r="K17" s="168">
        <f>INDEX(tblMedicationContIV,PedBerMedIV!$B11,3)</f>
        <v>0</v>
      </c>
      <c r="L17" s="152"/>
      <c r="M17" s="152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131"/>
      <c r="AA17" s="249"/>
      <c r="AB17" s="131" t="b">
        <f>IF(C17&lt;&gt;0,INDEX(tblMedicationContIV,PedBerMedIV!$B11,6)*(PedBerMedIV!J11/10))</f>
        <v>0</v>
      </c>
      <c r="AC17" s="131">
        <f t="shared" si="0"/>
        <v>0</v>
      </c>
      <c r="AD17" s="131">
        <f t="shared" si="1"/>
        <v>0</v>
      </c>
      <c r="AE17" s="131"/>
      <c r="AF17" s="249"/>
      <c r="AG17" s="249"/>
      <c r="AH17" s="249"/>
      <c r="AI17" s="249"/>
      <c r="AJ17" s="249"/>
      <c r="AK17" s="249"/>
      <c r="AL17" s="249"/>
      <c r="AM17" s="249"/>
      <c r="AN17" s="249"/>
      <c r="AO17" s="24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</row>
    <row r="18" spans="1:82" ht="20.100000000000001" customHeight="1" x14ac:dyDescent="0.4">
      <c r="A18" s="132"/>
      <c r="B18" s="140">
        <v>10</v>
      </c>
      <c r="C18" s="265">
        <f>INDEX(tblMedicationContIV,PedBerMedIV!$B12,1)</f>
        <v>0</v>
      </c>
      <c r="D18" s="161" t="str">
        <f>INDEX(tblBerMedContIV,11,5)&amp;" "&amp;INDEX(tblMedicationContIV,PedBerMedIV!$B12,4)</f>
        <v xml:space="preserve"> </v>
      </c>
      <c r="E18" s="151" t="str">
        <f>IF(AND(C9&lt;&gt;0,INDEX(tblBerMedContIV,11,6)&lt;&gt;""),INDEX(tblBerMedContIV,11,6)&amp;" ml","")</f>
        <v/>
      </c>
      <c r="F18" s="142">
        <f>INDEX(tblOplossing,PedBerMedIV!I12,1)</f>
        <v>0</v>
      </c>
      <c r="G18" s="151" t="str">
        <f>IF(C18&lt;&gt;0,PedBerMedIV!J12/10&amp;" ml/uur","")</f>
        <v/>
      </c>
      <c r="H18" s="149">
        <f>IF(C18&lt;&gt;0,(PedBerMedIV!J12/10)*INDEX(tblBerMedContIV,11,7),0)</f>
        <v>0</v>
      </c>
      <c r="I18" s="149">
        <f>INDEX(tblMedicationContIV,PedBerMedIV!$B12,2)</f>
        <v>0</v>
      </c>
      <c r="J18" s="152" t="str">
        <f>IF(C18&lt;&gt;0,24*PedBerMedIV!J12/10&amp;" ml","")</f>
        <v/>
      </c>
      <c r="K18" s="168">
        <f>INDEX(tblMedicationContIV,PedBerMedIV!$B12,3)</f>
        <v>0</v>
      </c>
      <c r="L18" s="152"/>
      <c r="M18" s="152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131"/>
      <c r="AA18" s="249"/>
      <c r="AB18" s="131" t="b">
        <f>IF(C18&lt;&gt;0,INDEX(tblMedicationContIV,PedBerMedIV!$B12,6)*(PedBerMedIV!J12/10))</f>
        <v>0</v>
      </c>
      <c r="AC18" s="131">
        <f t="shared" si="0"/>
        <v>0</v>
      </c>
      <c r="AD18" s="131">
        <f t="shared" si="1"/>
        <v>0</v>
      </c>
      <c r="AE18" s="131"/>
      <c r="AF18" s="249"/>
      <c r="AG18" s="249"/>
      <c r="AH18" s="249"/>
      <c r="AI18" s="249"/>
      <c r="AJ18" s="249"/>
      <c r="AK18" s="249"/>
      <c r="AL18" s="249"/>
      <c r="AM18" s="249"/>
      <c r="AN18" s="249"/>
      <c r="AO18" s="24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</row>
    <row r="19" spans="1:82" ht="20.100000000000001" customHeight="1" x14ac:dyDescent="0.4">
      <c r="A19" s="132"/>
      <c r="B19" s="140"/>
      <c r="C19" s="147"/>
      <c r="D19" s="147"/>
      <c r="E19" s="47"/>
      <c r="F19" s="47"/>
      <c r="G19" s="47"/>
      <c r="H19" s="47"/>
      <c r="I19" s="47"/>
      <c r="J19" s="46"/>
      <c r="K19" s="169" t="str">
        <f>IF(C19&lt;&gt;0,HLOOKUP(C19,#REF!,6),"")</f>
        <v/>
      </c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131"/>
      <c r="AA19" s="249"/>
      <c r="AB19" s="131"/>
      <c r="AC19" s="131"/>
      <c r="AD19" s="131"/>
      <c r="AE19" s="131"/>
      <c r="AF19" s="249"/>
      <c r="AG19" s="249"/>
      <c r="AH19" s="249"/>
      <c r="AI19" s="249"/>
      <c r="AJ19" s="249"/>
      <c r="AK19" s="249"/>
      <c r="AL19" s="249"/>
      <c r="AM19" s="249"/>
      <c r="AN19" s="249"/>
      <c r="AO19" s="24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</row>
    <row r="20" spans="1:82" ht="20.100000000000001" customHeight="1" x14ac:dyDescent="0.4">
      <c r="A20" s="132"/>
      <c r="B20" s="140">
        <v>11</v>
      </c>
      <c r="C20" s="153">
        <f>_Ped_MedIV_Keuze_11</f>
        <v>0</v>
      </c>
      <c r="D20" s="154">
        <f>_Ped_MedIV_Sterkte_11</f>
        <v>0</v>
      </c>
      <c r="E20" s="155" t="str">
        <f>IF(C20&lt;&gt;0,PedBerMedIV!E13&amp;" ml","")</f>
        <v/>
      </c>
      <c r="F20" s="227">
        <f>INDEX(tblOplossing,PedBerMedIV!I13,1)</f>
        <v>0</v>
      </c>
      <c r="G20" s="155">
        <f>IF(C20&lt;&gt;"",IF(PedBerMedIV!J13&lt;&gt;0,PedBerMedIV!J13/10&amp;" ml/uur",0),"")</f>
        <v>0</v>
      </c>
      <c r="H20" s="155" t="str">
        <f>PedBerMedIV!H13</f>
        <v/>
      </c>
      <c r="I20" s="155"/>
      <c r="J20" s="156" t="str">
        <f>IF(PedBerMedIV!K13&lt;&gt;0,PedBerMedIV!K13&amp;" ml","")</f>
        <v/>
      </c>
      <c r="K20" s="167"/>
      <c r="L20" s="150"/>
      <c r="M20" s="150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131"/>
      <c r="AA20" s="249"/>
      <c r="AB20" s="249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</row>
    <row r="21" spans="1:82" ht="20.100000000000001" customHeight="1" x14ac:dyDescent="0.4">
      <c r="A21" s="132"/>
      <c r="B21" s="140">
        <v>12</v>
      </c>
      <c r="C21" s="157">
        <f>_Ped_MedIV_Keuze_12</f>
        <v>0</v>
      </c>
      <c r="D21" s="157">
        <f>_Ped_MedIV_Sterkte_12</f>
        <v>0</v>
      </c>
      <c r="E21" s="151" t="str">
        <f>IF(C21&lt;&gt;0,PedBerMedIV!E14&amp;" ml","")</f>
        <v/>
      </c>
      <c r="F21" s="228">
        <f>INDEX(tblOplossing,PedBerMedIV!I14,1)</f>
        <v>0</v>
      </c>
      <c r="G21" s="151">
        <f>IF(C21&lt;&gt;"",IF(PedBerMedIV!J14&lt;&gt;0,PedBerMedIV!J14/10&amp;" ml/uur",0),"")</f>
        <v>0</v>
      </c>
      <c r="H21" s="155" t="str">
        <f>PedBerMedIV!H14</f>
        <v/>
      </c>
      <c r="I21" s="155"/>
      <c r="J21" s="152" t="str">
        <f>IF(PedBerMedIV!K14&lt;&gt;0,PedBerMedIV!K14&amp;" ml","")</f>
        <v/>
      </c>
      <c r="K21" s="168"/>
      <c r="L21" s="152"/>
      <c r="M21" s="152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31"/>
      <c r="AA21" s="249"/>
      <c r="AB21" s="249"/>
      <c r="AC21" s="249"/>
      <c r="AD21" s="249"/>
      <c r="AE21" s="249"/>
      <c r="AF21" s="249"/>
      <c r="AG21" s="249"/>
      <c r="AH21" s="249"/>
      <c r="AI21" s="249"/>
      <c r="AJ21" s="249"/>
      <c r="AK21" s="249"/>
      <c r="AL21" s="249"/>
      <c r="AM21" s="249"/>
      <c r="AN21" s="249"/>
      <c r="AO21" s="24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</row>
    <row r="22" spans="1:82" ht="20.100000000000001" customHeight="1" x14ac:dyDescent="0.4">
      <c r="A22" s="132"/>
      <c r="B22" s="140">
        <v>13</v>
      </c>
      <c r="C22" s="157">
        <f>_Ped_MedIV_Keuze_13</f>
        <v>0</v>
      </c>
      <c r="D22" s="157">
        <f>_Ped_MedIV_Sterkte_13</f>
        <v>0</v>
      </c>
      <c r="E22" s="151" t="str">
        <f>IF(C22&lt;&gt;0,PedBerMedIV!E15&amp;" ml","")</f>
        <v/>
      </c>
      <c r="F22" s="228">
        <f>INDEX(tblOplossing,PedBerMedIV!I15,1)</f>
        <v>0</v>
      </c>
      <c r="G22" s="151">
        <f>IF(C22&lt;&gt;"",IF(PedBerMedIV!J15&lt;&gt;0,PedBerMedIV!J15/10&amp;" ml/uur",0),"")</f>
        <v>0</v>
      </c>
      <c r="H22" s="155" t="str">
        <f>PedBerMedIV!H15</f>
        <v/>
      </c>
      <c r="I22" s="155"/>
      <c r="J22" s="152" t="str">
        <f>IF(PedBerMedIV!K15&lt;&gt;0,PedBerMedIV!K15&amp;" ml","")</f>
        <v/>
      </c>
      <c r="K22" s="168"/>
      <c r="L22" s="152"/>
      <c r="M22" s="152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131"/>
      <c r="AA22" s="249"/>
      <c r="AB22" s="249"/>
      <c r="AC22" s="249"/>
      <c r="AD22" s="249"/>
      <c r="AE22" s="249"/>
      <c r="AF22" s="249"/>
      <c r="AG22" s="249"/>
      <c r="AH22" s="249"/>
      <c r="AI22" s="249"/>
      <c r="AJ22" s="249"/>
      <c r="AK22" s="249"/>
      <c r="AL22" s="249"/>
      <c r="AM22" s="249"/>
      <c r="AN22" s="249"/>
      <c r="AO22" s="24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</row>
    <row r="23" spans="1:82" ht="20.100000000000001" customHeight="1" x14ac:dyDescent="0.4">
      <c r="A23" s="132"/>
      <c r="B23" s="140">
        <v>14</v>
      </c>
      <c r="C23" s="157">
        <f>_Ped_MedIV_Keuze_14</f>
        <v>0</v>
      </c>
      <c r="D23" s="157">
        <f>_Ped_MedIV_Sterkte_14</f>
        <v>0</v>
      </c>
      <c r="E23" s="151" t="str">
        <f>IF(C23&lt;&gt;0,PedBerMedIV!E16&amp;" ml","")</f>
        <v/>
      </c>
      <c r="F23" s="228">
        <f>INDEX(tblOplossing,PedBerMedIV!I16,1)</f>
        <v>0</v>
      </c>
      <c r="G23" s="151">
        <f>IF(C23&lt;&gt;"",IF(PedBerMedIV!J16&lt;&gt;0,PedBerMedIV!J16/10&amp;" ml/uur",0),"")</f>
        <v>0</v>
      </c>
      <c r="H23" s="155" t="str">
        <f>PedBerMedIV!H16</f>
        <v/>
      </c>
      <c r="I23" s="155"/>
      <c r="J23" s="152" t="str">
        <f>IF(PedBerMedIV!K16&lt;&gt;0,PedBerMedIV!K16&amp;" ml","")</f>
        <v/>
      </c>
      <c r="K23" s="168"/>
      <c r="L23" s="152"/>
      <c r="M23" s="152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131"/>
      <c r="AA23" s="249"/>
      <c r="AB23" s="249"/>
      <c r="AC23" s="249"/>
      <c r="AD23" s="249"/>
      <c r="AE23" s="249"/>
      <c r="AF23" s="249"/>
      <c r="AG23" s="249"/>
      <c r="AH23" s="249"/>
      <c r="AI23" s="249"/>
      <c r="AJ23" s="249"/>
      <c r="AK23" s="249"/>
      <c r="AL23" s="249"/>
      <c r="AM23" s="249"/>
      <c r="AN23" s="249"/>
      <c r="AO23" s="24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</row>
    <row r="24" spans="1:82" ht="20.100000000000001" customHeight="1" x14ac:dyDescent="0.4">
      <c r="A24" s="132"/>
      <c r="B24" s="140">
        <v>15</v>
      </c>
      <c r="C24" s="157">
        <f>_Ped_MedIV_Keuze_15</f>
        <v>0</v>
      </c>
      <c r="D24" s="157">
        <f>_Ped_MedIV_Sterkte_15</f>
        <v>0</v>
      </c>
      <c r="E24" s="151" t="str">
        <f>IF(C24&lt;&gt;0,PedBerMedIV!E17&amp;" ml","")</f>
        <v/>
      </c>
      <c r="F24" s="228">
        <f>INDEX(tblOplossing,PedBerMedIV!I17,1)</f>
        <v>0</v>
      </c>
      <c r="G24" s="151">
        <f>IF(C24&lt;&gt;"",IF(PedBerMedIV!J17&lt;&gt;0,PedBerMedIV!J17/10&amp;" ml/uur",0),"")</f>
        <v>0</v>
      </c>
      <c r="H24" s="155" t="str">
        <f>PedBerMedIV!H17</f>
        <v/>
      </c>
      <c r="I24" s="155"/>
      <c r="J24" s="152" t="str">
        <f>IF(PedBerMedIV!K17&lt;&gt;0,PedBerMedIV!K17&amp;" ml","")</f>
        <v/>
      </c>
      <c r="K24" s="168"/>
      <c r="L24" s="152"/>
      <c r="M24" s="152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131"/>
      <c r="AA24" s="249"/>
      <c r="AB24" s="249"/>
      <c r="AC24" s="249"/>
      <c r="AD24" s="249"/>
      <c r="AE24" s="249"/>
      <c r="AF24" s="249"/>
      <c r="AG24" s="249"/>
      <c r="AH24" s="249"/>
      <c r="AI24" s="249"/>
      <c r="AJ24" s="249"/>
      <c r="AK24" s="249"/>
      <c r="AL24" s="249"/>
      <c r="AM24" s="249"/>
      <c r="AN24" s="249"/>
      <c r="AO24" s="24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</row>
    <row r="25" spans="1:82" x14ac:dyDescent="0.35">
      <c r="A25" s="132"/>
      <c r="B25" s="132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131"/>
      <c r="AA25" s="249"/>
      <c r="AB25" s="249"/>
      <c r="AC25" s="249"/>
      <c r="AD25" s="249"/>
      <c r="AE25" s="249"/>
      <c r="AF25" s="249"/>
      <c r="AG25" s="249"/>
      <c r="AH25" s="249"/>
      <c r="AI25" s="249"/>
      <c r="AJ25" s="249"/>
      <c r="AK25" s="249"/>
      <c r="AL25" s="249"/>
      <c r="AM25" s="249"/>
      <c r="AN25" s="249"/>
      <c r="AO25" s="24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</row>
    <row r="26" spans="1:82" ht="13.2" x14ac:dyDescent="0.4">
      <c r="A26" s="132"/>
      <c r="B26" s="132"/>
      <c r="C26" s="164" t="str">
        <f>PedGuiEntTPN!B34</f>
        <v>Vocht</v>
      </c>
      <c r="D26" s="165" t="str">
        <f>PedGuiEntTPN!D34</f>
        <v>0 ml/kg</v>
      </c>
      <c r="E26" s="164" t="str">
        <f ca="1">PedGuiEntTPN!E34</f>
        <v>30 ml/kg</v>
      </c>
      <c r="F26" s="164"/>
      <c r="G26" s="164" t="str">
        <f>PedGuiEntTPN!H34</f>
        <v>Eiwit</v>
      </c>
      <c r="H26" s="165" t="str">
        <f>PedGuiEntTPN!I34</f>
        <v>0  gram/kg</v>
      </c>
      <c r="I26" s="165"/>
      <c r="J26" s="164" t="str">
        <f>PedGuiEntTPN!J34</f>
        <v>2-2,5 g/kg</v>
      </c>
      <c r="K26" s="164"/>
      <c r="L26" s="166"/>
      <c r="M26" s="166"/>
      <c r="N26" s="166"/>
      <c r="O26" s="166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249"/>
      <c r="AA26" s="249"/>
      <c r="AB26" s="249"/>
      <c r="AC26" s="249"/>
      <c r="AD26" s="249"/>
      <c r="AE26" s="249"/>
      <c r="AF26" s="249"/>
      <c r="AG26" s="249"/>
      <c r="AH26" s="249"/>
      <c r="AI26" s="249"/>
      <c r="AJ26" s="249"/>
      <c r="AK26" s="249"/>
      <c r="AL26" s="249"/>
      <c r="AM26" s="249"/>
      <c r="AN26" s="249"/>
      <c r="AO26" s="24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</row>
    <row r="27" spans="1:82" ht="13.2" x14ac:dyDescent="0.4">
      <c r="A27" s="132"/>
      <c r="B27" s="132"/>
      <c r="C27" s="164" t="str">
        <f>PedGuiEntTPN!B35</f>
        <v>Calorieen</v>
      </c>
      <c r="D27" s="165" t="str">
        <f>PedGuiEntTPN!D35</f>
        <v>0 kCal/kg</v>
      </c>
      <c r="E27" s="164" t="str">
        <f ca="1">PedGuiEntTPN!E35</f>
        <v>100 kCal/kg</v>
      </c>
      <c r="F27" s="164"/>
      <c r="G27" s="164" t="str">
        <f>PedGuiEntTPN!H35</f>
        <v>Vet</v>
      </c>
      <c r="H27" s="165" t="str">
        <f>PedGuiEntTPN!I35</f>
        <v>0 gram/kg</v>
      </c>
      <c r="I27" s="165"/>
      <c r="J27" s="164" t="str">
        <f>PedGuiEntTPN!J35</f>
        <v>4 g/kg</v>
      </c>
      <c r="K27" s="164"/>
      <c r="L27" s="164"/>
      <c r="M27" s="164"/>
      <c r="N27" s="164"/>
      <c r="O27" s="16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249"/>
      <c r="AA27" s="249"/>
      <c r="AB27" s="249"/>
      <c r="AC27" s="249"/>
      <c r="AD27" s="249"/>
      <c r="AE27" s="249"/>
      <c r="AF27" s="249"/>
      <c r="AG27" s="249"/>
      <c r="AH27" s="249"/>
      <c r="AI27" s="249"/>
      <c r="AJ27" s="249"/>
      <c r="AK27" s="249"/>
      <c r="AL27" s="249"/>
      <c r="AM27" s="249"/>
      <c r="AN27" s="249"/>
      <c r="AO27" s="24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</row>
    <row r="28" spans="1:82" ht="13.2" x14ac:dyDescent="0.4">
      <c r="A28" s="132"/>
      <c r="B28" s="132"/>
      <c r="C28" s="164" t="str">
        <f>PedGuiEntTPN!B36</f>
        <v>Glucose/KH</v>
      </c>
      <c r="D28" s="165" t="str">
        <f>PedGuiEntTPN!D36</f>
        <v>0 g/kg</v>
      </c>
      <c r="E28" s="164" t="str">
        <f>PedGuiEntTPN!E36</f>
        <v>3,6 g/kg</v>
      </c>
      <c r="F28" s="164"/>
      <c r="G28" s="164" t="str">
        <f>PedGuiEntTPN!H36</f>
        <v>Calcium</v>
      </c>
      <c r="H28" s="165" t="str">
        <f>PedGuiEntTPN!I36</f>
        <v>0 mmol/kg</v>
      </c>
      <c r="I28" s="165"/>
      <c r="J28" s="164" t="str">
        <f>PedGuiEntTPN!J36</f>
        <v>0,2-0,8 mmol/kg (3-10 kg:0,8; 10-20 kg:0,5; &gt; 20 kg:0,2 mmol/kg)</v>
      </c>
      <c r="K28" s="164"/>
      <c r="L28" s="164"/>
      <c r="M28" s="164"/>
      <c r="N28" s="164"/>
      <c r="O28" s="16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249"/>
      <c r="AA28" s="249"/>
      <c r="AB28" s="249"/>
      <c r="AC28" s="249"/>
      <c r="AD28" s="249"/>
      <c r="AE28" s="249"/>
      <c r="AF28" s="249"/>
      <c r="AG28" s="249"/>
      <c r="AH28" s="249"/>
      <c r="AI28" s="249"/>
      <c r="AJ28" s="249"/>
      <c r="AK28" s="249"/>
      <c r="AL28" s="249"/>
      <c r="AM28" s="249"/>
      <c r="AN28" s="249"/>
      <c r="AO28" s="24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</row>
    <row r="29" spans="1:82" ht="13.2" x14ac:dyDescent="0.4">
      <c r="A29" s="132"/>
      <c r="B29" s="132"/>
      <c r="C29" s="164" t="str">
        <f>PedGuiEntTPN!B37</f>
        <v xml:space="preserve">Natrium </v>
      </c>
      <c r="D29" s="165" t="str">
        <f>PedGuiEntTPN!D37</f>
        <v>0 mmol/kg</v>
      </c>
      <c r="E29" s="164" t="str">
        <f>PedGuiEntTPN!E37</f>
        <v>2-4 mmol/kg</v>
      </c>
      <c r="F29" s="164"/>
      <c r="G29" s="164" t="str">
        <f>PedGuiEntTPN!H37</f>
        <v>Magnesium</v>
      </c>
      <c r="H29" s="165" t="str">
        <f>PedGuiEntTPN!I37</f>
        <v>0 mmol/kg</v>
      </c>
      <c r="I29" s="165"/>
      <c r="J29" s="164" t="str">
        <f>PedGuiEntTPN!J37</f>
        <v>0,1-0,3 mmol/kg</v>
      </c>
      <c r="K29" s="164"/>
      <c r="L29" s="164"/>
      <c r="M29" s="164"/>
      <c r="N29" s="164"/>
      <c r="O29" s="16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249"/>
      <c r="AA29" s="249"/>
      <c r="AB29" s="249"/>
      <c r="AC29" s="249"/>
      <c r="AD29" s="249"/>
      <c r="AE29" s="249"/>
      <c r="AF29" s="249"/>
      <c r="AG29" s="249"/>
      <c r="AH29" s="249"/>
      <c r="AI29" s="249"/>
      <c r="AJ29" s="249"/>
      <c r="AK29" s="249"/>
      <c r="AL29" s="249"/>
      <c r="AM29" s="249"/>
      <c r="AN29" s="249"/>
      <c r="AO29" s="24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</row>
    <row r="30" spans="1:82" ht="13.2" x14ac:dyDescent="0.4">
      <c r="A30" s="132"/>
      <c r="B30" s="132"/>
      <c r="C30" s="164" t="str">
        <f>PedGuiEntTPN!B38</f>
        <v>Kalium</v>
      </c>
      <c r="D30" s="165" t="str">
        <f>PedGuiEntTPN!D38</f>
        <v>0 mmol/kg</v>
      </c>
      <c r="E30" s="164" t="str">
        <f>PedGuiEntTPN!E38</f>
        <v>1-2 mmol/kg</v>
      </c>
      <c r="F30" s="164"/>
      <c r="G30" s="164" t="str">
        <f>PedGuiEntTPN!H38</f>
        <v>Fosfaat</v>
      </c>
      <c r="H30" s="165" t="str">
        <f>PedGuiEntTPN!I38</f>
        <v>0 mmol/kg</v>
      </c>
      <c r="I30" s="165"/>
      <c r="J30" s="164" t="str">
        <f>PedGuiEntTPN!J38</f>
        <v>0,75 mmol/kg</v>
      </c>
      <c r="K30" s="164"/>
      <c r="L30" s="164"/>
      <c r="M30" s="164"/>
      <c r="N30" s="164"/>
      <c r="O30" s="16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4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</row>
    <row r="31" spans="1:82" x14ac:dyDescent="0.35">
      <c r="A31" s="132"/>
      <c r="B31" s="132"/>
      <c r="C31" s="45"/>
      <c r="D31" s="45"/>
      <c r="E31" s="45"/>
      <c r="F31" s="45"/>
      <c r="G31" s="45"/>
      <c r="H31" s="45"/>
      <c r="I31" s="45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249"/>
      <c r="AA31" s="249"/>
      <c r="AB31" s="249"/>
      <c r="AC31" s="249"/>
      <c r="AD31" s="249"/>
      <c r="AE31" s="249"/>
      <c r="AF31" s="249"/>
      <c r="AG31" s="249"/>
      <c r="AH31" s="249"/>
      <c r="AI31" s="249"/>
      <c r="AJ31" s="249"/>
      <c r="AK31" s="249"/>
      <c r="AL31" s="249"/>
      <c r="AM31" s="249"/>
      <c r="AN31" s="249"/>
      <c r="AO31" s="24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</row>
    <row r="32" spans="1:82" x14ac:dyDescent="0.35">
      <c r="A32" s="132"/>
      <c r="B32" s="132"/>
      <c r="C32" s="163" t="s">
        <v>315</v>
      </c>
      <c r="D32" s="866">
        <f>GlobBerOpm!C3</f>
        <v>0</v>
      </c>
      <c r="E32" s="867"/>
      <c r="F32" s="867"/>
      <c r="G32" s="867"/>
      <c r="H32" s="867"/>
      <c r="I32" s="867"/>
      <c r="J32" s="867"/>
      <c r="K32" s="867"/>
      <c r="L32" s="148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249"/>
      <c r="AA32" s="249"/>
      <c r="AB32" s="249"/>
      <c r="AC32" s="249"/>
      <c r="AD32" s="249"/>
      <c r="AE32" s="249"/>
      <c r="AF32" s="249"/>
      <c r="AG32" s="249"/>
      <c r="AH32" s="249"/>
      <c r="AI32" s="249"/>
      <c r="AJ32" s="249"/>
      <c r="AK32" s="249"/>
      <c r="AL32" s="249"/>
      <c r="AM32" s="249"/>
      <c r="AN32" s="249"/>
      <c r="AO32" s="24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</row>
    <row r="33" spans="1:82" x14ac:dyDescent="0.35">
      <c r="A33" s="132"/>
      <c r="B33" s="132"/>
      <c r="C33" s="144"/>
      <c r="D33" s="867"/>
      <c r="E33" s="867"/>
      <c r="F33" s="867"/>
      <c r="G33" s="867"/>
      <c r="H33" s="867"/>
      <c r="I33" s="867"/>
      <c r="J33" s="867"/>
      <c r="K33" s="867"/>
      <c r="L33" s="148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249"/>
      <c r="AA33" s="249"/>
      <c r="AB33" s="249"/>
      <c r="AC33" s="249"/>
      <c r="AD33" s="249"/>
      <c r="AE33" s="249"/>
      <c r="AF33" s="249"/>
      <c r="AG33" s="249"/>
      <c r="AH33" s="249"/>
      <c r="AI33" s="249"/>
      <c r="AJ33" s="249"/>
      <c r="AK33" s="249"/>
      <c r="AL33" s="249"/>
      <c r="AM33" s="249"/>
      <c r="AN33" s="249"/>
      <c r="AO33" s="24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</row>
    <row r="34" spans="1:82" x14ac:dyDescent="0.35">
      <c r="A34" s="132"/>
      <c r="B34" s="132"/>
      <c r="C34" s="144"/>
      <c r="D34" s="867"/>
      <c r="E34" s="867"/>
      <c r="F34" s="867"/>
      <c r="G34" s="867"/>
      <c r="H34" s="867"/>
      <c r="I34" s="867"/>
      <c r="J34" s="867"/>
      <c r="K34" s="867"/>
      <c r="L34" s="148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249"/>
      <c r="AA34" s="249"/>
      <c r="AB34" s="249"/>
      <c r="AC34" s="249"/>
      <c r="AD34" s="249"/>
      <c r="AE34" s="249"/>
      <c r="AF34" s="249"/>
      <c r="AG34" s="249"/>
      <c r="AH34" s="249"/>
      <c r="AI34" s="249"/>
      <c r="AJ34" s="249"/>
      <c r="AK34" s="249"/>
      <c r="AL34" s="249"/>
      <c r="AM34" s="249"/>
      <c r="AN34" s="249"/>
      <c r="AO34" s="24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</row>
    <row r="35" spans="1:82" x14ac:dyDescent="0.35">
      <c r="A35" s="132"/>
      <c r="B35" s="132"/>
      <c r="C35" s="144"/>
      <c r="D35" s="867"/>
      <c r="E35" s="867"/>
      <c r="F35" s="867"/>
      <c r="G35" s="867"/>
      <c r="H35" s="867"/>
      <c r="I35" s="867"/>
      <c r="J35" s="867"/>
      <c r="K35" s="867"/>
      <c r="L35" s="148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249"/>
      <c r="AA35" s="249"/>
      <c r="AB35" s="249"/>
      <c r="AC35" s="249"/>
      <c r="AD35" s="249"/>
      <c r="AE35" s="249"/>
      <c r="AF35" s="249"/>
      <c r="AG35" s="249"/>
      <c r="AH35" s="249"/>
      <c r="AI35" s="249"/>
      <c r="AJ35" s="249"/>
      <c r="AK35" s="249"/>
      <c r="AL35" s="249"/>
      <c r="AM35" s="249"/>
      <c r="AN35" s="249"/>
      <c r="AO35" s="24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</row>
    <row r="36" spans="1:82" x14ac:dyDescent="0.35">
      <c r="A36" s="140"/>
      <c r="B36" s="140"/>
      <c r="C36" s="144"/>
      <c r="D36" s="867"/>
      <c r="E36" s="867"/>
      <c r="F36" s="867"/>
      <c r="G36" s="867"/>
      <c r="H36" s="867"/>
      <c r="I36" s="867"/>
      <c r="J36" s="867"/>
      <c r="K36" s="867"/>
      <c r="L36" s="63"/>
      <c r="M36" s="46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249"/>
      <c r="AA36" s="249"/>
      <c r="AB36" s="249"/>
      <c r="AC36" s="249"/>
      <c r="AD36" s="249"/>
      <c r="AE36" s="249"/>
      <c r="AF36" s="249"/>
      <c r="AG36" s="249"/>
      <c r="AH36" s="249"/>
      <c r="AI36" s="249"/>
      <c r="AJ36" s="249"/>
      <c r="AK36" s="249"/>
      <c r="AL36" s="249"/>
      <c r="AM36" s="249"/>
      <c r="AN36" s="249"/>
      <c r="AO36" s="24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</row>
    <row r="37" spans="1:82" x14ac:dyDescent="0.35">
      <c r="A37" s="132"/>
      <c r="B37" s="132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4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</row>
    <row r="38" spans="1:82" x14ac:dyDescent="0.35">
      <c r="A38" s="132"/>
      <c r="B38" s="132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249"/>
      <c r="AA38" s="249"/>
      <c r="AB38" s="249"/>
      <c r="AC38" s="249"/>
      <c r="AD38" s="249"/>
      <c r="AE38" s="249"/>
      <c r="AF38" s="249"/>
      <c r="AG38" s="249"/>
      <c r="AH38" s="249"/>
      <c r="AI38" s="249"/>
      <c r="AJ38" s="249"/>
      <c r="AK38" s="249"/>
      <c r="AL38" s="249"/>
      <c r="AM38" s="249"/>
      <c r="AN38" s="249"/>
      <c r="AO38" s="24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</row>
    <row r="39" spans="1:82" x14ac:dyDescent="0.35">
      <c r="A39" s="132"/>
      <c r="B39" s="132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249"/>
      <c r="AA39" s="249"/>
      <c r="AB39" s="249"/>
      <c r="AC39" s="249"/>
      <c r="AD39" s="249"/>
      <c r="AE39" s="249"/>
      <c r="AF39" s="249"/>
      <c r="AG39" s="249"/>
      <c r="AH39" s="249"/>
      <c r="AI39" s="249"/>
      <c r="AJ39" s="249"/>
      <c r="AK39" s="249"/>
      <c r="AL39" s="249"/>
      <c r="AM39" s="249"/>
      <c r="AN39" s="249"/>
      <c r="AO39" s="24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</row>
    <row r="40" spans="1:82" x14ac:dyDescent="0.35">
      <c r="A40" s="132"/>
      <c r="B40" s="132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131"/>
      <c r="AA40" s="131"/>
      <c r="AB40" s="131"/>
      <c r="AC40" s="131"/>
      <c r="AD40" s="131"/>
      <c r="AE40" s="131"/>
      <c r="AF40" s="131"/>
      <c r="AG40" s="131"/>
      <c r="AH40" s="131"/>
      <c r="AI40" s="131"/>
      <c r="AJ40" s="131"/>
      <c r="AK40" s="131"/>
      <c r="AL40" s="131"/>
      <c r="AM40" s="131"/>
      <c r="AN40" s="131"/>
      <c r="AO40" s="131"/>
    </row>
    <row r="41" spans="1:82" x14ac:dyDescent="0.35">
      <c r="A41" s="132"/>
      <c r="B41" s="132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</row>
    <row r="42" spans="1:82" x14ac:dyDescent="0.35">
      <c r="A42" s="132"/>
      <c r="B42" s="132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1"/>
    </row>
    <row r="43" spans="1:82" x14ac:dyDescent="0.35">
      <c r="A43" s="132"/>
      <c r="B43" s="132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131"/>
      <c r="AA43" s="131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</row>
    <row r="44" spans="1:82" x14ac:dyDescent="0.35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/>
    </row>
    <row r="45" spans="1:82" x14ac:dyDescent="0.35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131"/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1"/>
    </row>
    <row r="46" spans="1:82" x14ac:dyDescent="0.35">
      <c r="A46" s="131"/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  <c r="AF46" s="131"/>
      <c r="AG46" s="131"/>
      <c r="AH46" s="131"/>
      <c r="AI46" s="131"/>
      <c r="AJ46" s="131"/>
      <c r="AK46" s="131"/>
      <c r="AL46" s="131"/>
      <c r="AM46" s="131"/>
      <c r="AN46" s="131"/>
      <c r="AO46" s="131"/>
    </row>
    <row r="47" spans="1:82" x14ac:dyDescent="0.35">
      <c r="A47" s="131"/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  <c r="AH47" s="131"/>
      <c r="AI47" s="131"/>
      <c r="AJ47" s="131"/>
      <c r="AK47" s="131"/>
      <c r="AL47" s="131"/>
      <c r="AM47" s="131"/>
      <c r="AN47" s="131"/>
      <c r="AO47" s="131"/>
    </row>
    <row r="48" spans="1:82" x14ac:dyDescent="0.35">
      <c r="A48" s="131"/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31"/>
      <c r="AF48" s="131"/>
      <c r="AG48" s="131"/>
      <c r="AH48" s="131"/>
      <c r="AI48" s="131"/>
      <c r="AJ48" s="131"/>
      <c r="AK48" s="131"/>
      <c r="AL48" s="131"/>
      <c r="AM48" s="131"/>
      <c r="AN48" s="131"/>
      <c r="AO48" s="131"/>
    </row>
    <row r="49" spans="1:49" x14ac:dyDescent="0.35">
      <c r="A49" s="131"/>
      <c r="B49" s="131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31"/>
      <c r="AG49" s="131"/>
      <c r="AH49" s="131"/>
      <c r="AI49" s="131"/>
      <c r="AJ49" s="131"/>
      <c r="AK49" s="131"/>
      <c r="AL49" s="131"/>
      <c r="AM49" s="131"/>
      <c r="AN49" s="131"/>
      <c r="AO49" s="131"/>
    </row>
    <row r="50" spans="1:49" x14ac:dyDescent="0.35">
      <c r="A50" s="131"/>
      <c r="B50" s="131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1"/>
    </row>
    <row r="51" spans="1:49" x14ac:dyDescent="0.35">
      <c r="A51" s="131"/>
      <c r="B51" s="131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</row>
    <row r="52" spans="1:49" x14ac:dyDescent="0.35">
      <c r="A52" s="131"/>
      <c r="B52" s="131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  <c r="AH52" s="131"/>
      <c r="AI52" s="131"/>
      <c r="AJ52" s="131"/>
      <c r="AK52" s="131"/>
      <c r="AL52" s="131"/>
      <c r="AM52" s="131"/>
      <c r="AN52" s="131"/>
      <c r="AO52" s="131"/>
    </row>
    <row r="53" spans="1:49" x14ac:dyDescent="0.35">
      <c r="A53" s="131"/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131"/>
      <c r="AA53" s="131"/>
      <c r="AB53" s="131"/>
      <c r="AC53" s="131"/>
      <c r="AD53" s="131"/>
      <c r="AE53" s="131"/>
      <c r="AF53" s="131"/>
      <c r="AG53" s="131"/>
      <c r="AH53" s="131"/>
      <c r="AI53" s="131"/>
      <c r="AJ53" s="131"/>
      <c r="AK53" s="131"/>
      <c r="AL53" s="131"/>
      <c r="AM53" s="131"/>
      <c r="AN53" s="131"/>
      <c r="AO53" s="131"/>
      <c r="AP53" s="131"/>
      <c r="AQ53" s="131"/>
      <c r="AR53" s="131"/>
      <c r="AS53" s="131"/>
      <c r="AT53" s="131"/>
      <c r="AU53" s="131"/>
      <c r="AV53" s="131"/>
      <c r="AW53" s="131"/>
    </row>
    <row r="54" spans="1:49" x14ac:dyDescent="0.35">
      <c r="A54" s="131"/>
      <c r="B54" s="131"/>
      <c r="C54" s="131"/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  <c r="AB54" s="131"/>
      <c r="AC54" s="131"/>
      <c r="AD54" s="131"/>
      <c r="AE54" s="131"/>
      <c r="AF54" s="131"/>
      <c r="AG54" s="131"/>
      <c r="AH54" s="131"/>
      <c r="AI54" s="131"/>
      <c r="AJ54" s="131"/>
      <c r="AK54" s="131"/>
      <c r="AL54" s="131"/>
      <c r="AM54" s="131"/>
      <c r="AN54" s="131"/>
      <c r="AO54" s="131"/>
      <c r="AP54" s="131"/>
      <c r="AQ54" s="131"/>
      <c r="AR54" s="131"/>
      <c r="AS54" s="131"/>
      <c r="AT54" s="131"/>
      <c r="AU54" s="131"/>
      <c r="AV54" s="131"/>
      <c r="AW54" s="131"/>
    </row>
    <row r="55" spans="1:49" x14ac:dyDescent="0.35">
      <c r="A55" s="131"/>
      <c r="B55" s="131"/>
      <c r="C55" s="131"/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  <c r="AC55" s="131"/>
      <c r="AD55" s="131"/>
      <c r="AE55" s="131"/>
      <c r="AF55" s="131"/>
      <c r="AG55" s="131"/>
      <c r="AH55" s="131"/>
      <c r="AI55" s="131"/>
      <c r="AJ55" s="131"/>
      <c r="AK55" s="131"/>
      <c r="AL55" s="131"/>
      <c r="AM55" s="131"/>
      <c r="AN55" s="131"/>
      <c r="AO55" s="131"/>
      <c r="AP55" s="131"/>
      <c r="AQ55" s="131"/>
      <c r="AR55" s="131"/>
      <c r="AS55" s="131"/>
      <c r="AT55" s="131"/>
      <c r="AU55" s="131"/>
      <c r="AV55" s="131"/>
      <c r="AW55" s="131"/>
    </row>
    <row r="56" spans="1:49" x14ac:dyDescent="0.35">
      <c r="A56" s="131"/>
      <c r="B56" s="131"/>
      <c r="C56" s="131"/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  <c r="AC56" s="131"/>
      <c r="AD56" s="131"/>
      <c r="AE56" s="131"/>
      <c r="AF56" s="131"/>
      <c r="AG56" s="131"/>
      <c r="AH56" s="131"/>
      <c r="AI56" s="131"/>
      <c r="AJ56" s="131"/>
      <c r="AK56" s="131"/>
      <c r="AL56" s="131"/>
      <c r="AM56" s="131"/>
      <c r="AN56" s="131"/>
      <c r="AO56" s="131"/>
      <c r="AP56" s="131"/>
      <c r="AQ56" s="131"/>
      <c r="AR56" s="131"/>
      <c r="AS56" s="131"/>
      <c r="AT56" s="131"/>
      <c r="AU56" s="131"/>
      <c r="AV56" s="131"/>
      <c r="AW56" s="131"/>
    </row>
    <row r="57" spans="1:49" x14ac:dyDescent="0.35">
      <c r="A57" s="131"/>
      <c r="B57" s="131"/>
      <c r="C57" s="131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  <c r="AH57" s="131"/>
      <c r="AI57" s="131"/>
      <c r="AJ57" s="131"/>
      <c r="AK57" s="131"/>
      <c r="AL57" s="131"/>
      <c r="AM57" s="131"/>
      <c r="AN57" s="131"/>
      <c r="AO57" s="131"/>
      <c r="AP57" s="131"/>
      <c r="AQ57" s="131"/>
      <c r="AR57" s="131"/>
      <c r="AS57" s="131"/>
      <c r="AT57" s="131"/>
      <c r="AU57" s="131"/>
      <c r="AV57" s="131"/>
      <c r="AW57" s="131"/>
    </row>
    <row r="58" spans="1:49" x14ac:dyDescent="0.35">
      <c r="A58" s="131"/>
      <c r="B58" s="131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/>
      <c r="AP58" s="131"/>
      <c r="AQ58" s="131"/>
      <c r="AR58" s="131"/>
      <c r="AS58" s="131"/>
      <c r="AT58" s="131"/>
      <c r="AU58" s="131"/>
      <c r="AV58" s="131"/>
      <c r="AW58" s="131"/>
    </row>
    <row r="59" spans="1:49" x14ac:dyDescent="0.35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1"/>
      <c r="AP59" s="131"/>
      <c r="AQ59" s="131"/>
      <c r="AR59" s="131"/>
      <c r="AS59" s="131"/>
      <c r="AT59" s="131"/>
      <c r="AU59" s="131"/>
      <c r="AV59" s="131"/>
      <c r="AW59" s="131"/>
    </row>
    <row r="60" spans="1:49" x14ac:dyDescent="0.35">
      <c r="A60" s="131"/>
      <c r="B60" s="131"/>
      <c r="C60" s="131"/>
      <c r="D60" s="131"/>
      <c r="E60" s="131"/>
      <c r="F60" s="131"/>
      <c r="G60" s="131"/>
      <c r="H60" s="131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31"/>
      <c r="AB60" s="131"/>
      <c r="AC60" s="131"/>
      <c r="AD60" s="131"/>
      <c r="AE60" s="131"/>
      <c r="AF60" s="131"/>
      <c r="AG60" s="131"/>
      <c r="AH60" s="131"/>
      <c r="AI60" s="131"/>
      <c r="AJ60" s="131"/>
      <c r="AK60" s="131"/>
      <c r="AL60" s="131"/>
      <c r="AM60" s="131"/>
      <c r="AN60" s="131"/>
      <c r="AO60" s="131"/>
      <c r="AP60" s="131"/>
      <c r="AQ60" s="131"/>
      <c r="AR60" s="131"/>
      <c r="AS60" s="131"/>
      <c r="AT60" s="131"/>
      <c r="AU60" s="131"/>
      <c r="AV60" s="131"/>
      <c r="AW60" s="131"/>
    </row>
    <row r="61" spans="1:49" x14ac:dyDescent="0.35">
      <c r="A61" s="131"/>
      <c r="B61" s="131"/>
      <c r="C61" s="131"/>
      <c r="D61" s="131"/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  <c r="AH61" s="131"/>
      <c r="AI61" s="131"/>
      <c r="AJ61" s="131"/>
      <c r="AK61" s="131"/>
      <c r="AL61" s="131"/>
      <c r="AM61" s="131"/>
      <c r="AN61" s="131"/>
      <c r="AO61" s="131"/>
      <c r="AP61" s="131"/>
      <c r="AQ61" s="131"/>
      <c r="AR61" s="131"/>
      <c r="AS61" s="131"/>
      <c r="AT61" s="131"/>
      <c r="AU61" s="131"/>
      <c r="AV61" s="131"/>
      <c r="AW61" s="131"/>
    </row>
    <row r="62" spans="1:49" x14ac:dyDescent="0.35">
      <c r="A62" s="131"/>
      <c r="B62" s="131"/>
      <c r="C62" s="131"/>
      <c r="D62" s="131"/>
      <c r="E62" s="131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1"/>
      <c r="AF62" s="131"/>
      <c r="AG62" s="131"/>
      <c r="AH62" s="131"/>
      <c r="AI62" s="131"/>
      <c r="AJ62" s="131"/>
      <c r="AK62" s="131"/>
      <c r="AL62" s="131"/>
      <c r="AM62" s="131"/>
      <c r="AN62" s="131"/>
      <c r="AO62" s="131"/>
      <c r="AP62" s="131"/>
      <c r="AQ62" s="131"/>
      <c r="AR62" s="131"/>
      <c r="AS62" s="131"/>
      <c r="AT62" s="131"/>
      <c r="AU62" s="131"/>
      <c r="AV62" s="131"/>
      <c r="AW62" s="131"/>
    </row>
    <row r="63" spans="1:49" x14ac:dyDescent="0.35">
      <c r="A63" s="131"/>
      <c r="B63" s="131"/>
      <c r="C63" s="131"/>
      <c r="D63" s="131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131"/>
      <c r="AA63" s="131"/>
      <c r="AB63" s="131"/>
      <c r="AC63" s="131"/>
      <c r="AD63" s="131"/>
      <c r="AE63" s="131"/>
      <c r="AF63" s="131"/>
      <c r="AG63" s="131"/>
      <c r="AH63" s="131"/>
      <c r="AI63" s="131"/>
      <c r="AJ63" s="131"/>
      <c r="AK63" s="131"/>
      <c r="AL63" s="131"/>
      <c r="AM63" s="131"/>
      <c r="AN63" s="131"/>
      <c r="AO63" s="131"/>
      <c r="AP63" s="131"/>
      <c r="AQ63" s="131"/>
      <c r="AR63" s="131"/>
      <c r="AS63" s="131"/>
      <c r="AT63" s="131"/>
      <c r="AU63" s="131"/>
      <c r="AV63" s="131"/>
      <c r="AW63" s="131"/>
    </row>
    <row r="64" spans="1:49" x14ac:dyDescent="0.35">
      <c r="A64" s="131"/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1"/>
      <c r="AP64" s="131"/>
      <c r="AQ64" s="131"/>
      <c r="AR64" s="131"/>
      <c r="AS64" s="131"/>
      <c r="AT64" s="131"/>
      <c r="AU64" s="131"/>
      <c r="AV64" s="131"/>
      <c r="AW64" s="131"/>
    </row>
    <row r="65" spans="1:49" x14ac:dyDescent="0.35">
      <c r="A65" s="131"/>
      <c r="B65" s="131"/>
      <c r="C65" s="131"/>
      <c r="D65" s="131"/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131"/>
      <c r="AC65" s="131"/>
      <c r="AD65" s="131"/>
      <c r="AE65" s="131"/>
      <c r="AF65" s="131"/>
      <c r="AG65" s="131"/>
      <c r="AH65" s="131"/>
      <c r="AI65" s="131"/>
      <c r="AJ65" s="131"/>
      <c r="AK65" s="131"/>
      <c r="AL65" s="131"/>
      <c r="AM65" s="131"/>
      <c r="AN65" s="131"/>
      <c r="AO65" s="131"/>
      <c r="AP65" s="131"/>
      <c r="AQ65" s="131"/>
      <c r="AR65" s="131"/>
      <c r="AS65" s="131"/>
      <c r="AT65" s="131"/>
      <c r="AU65" s="131"/>
      <c r="AV65" s="131"/>
      <c r="AW65" s="131"/>
    </row>
    <row r="66" spans="1:49" x14ac:dyDescent="0.35">
      <c r="A66" s="131"/>
      <c r="B66" s="131"/>
      <c r="C66" s="131"/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1"/>
      <c r="AP66" s="131"/>
      <c r="AQ66" s="131"/>
      <c r="AR66" s="131"/>
      <c r="AS66" s="131"/>
      <c r="AT66" s="131"/>
      <c r="AU66" s="131"/>
      <c r="AV66" s="131"/>
      <c r="AW66" s="131"/>
    </row>
    <row r="67" spans="1:49" x14ac:dyDescent="0.35">
      <c r="A67" s="131"/>
      <c r="B67" s="131"/>
      <c r="C67" s="131"/>
      <c r="D67" s="131"/>
      <c r="E67" s="131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  <c r="AE67" s="131"/>
      <c r="AF67" s="131"/>
      <c r="AG67" s="131"/>
      <c r="AH67" s="131"/>
      <c r="AI67" s="131"/>
      <c r="AJ67" s="131"/>
      <c r="AK67" s="131"/>
      <c r="AL67" s="131"/>
      <c r="AM67" s="131"/>
      <c r="AN67" s="131"/>
      <c r="AO67" s="131"/>
      <c r="AP67" s="131"/>
      <c r="AQ67" s="131"/>
      <c r="AR67" s="131"/>
      <c r="AS67" s="131"/>
      <c r="AT67" s="131"/>
      <c r="AU67" s="131"/>
      <c r="AV67" s="131"/>
      <c r="AW67" s="131"/>
    </row>
    <row r="68" spans="1:49" x14ac:dyDescent="0.35">
      <c r="A68" s="131"/>
      <c r="B68" s="131"/>
      <c r="C68" s="131"/>
      <c r="D68" s="131"/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31"/>
      <c r="Y68" s="131"/>
      <c r="Z68" s="131"/>
      <c r="AA68" s="131"/>
      <c r="AB68" s="131"/>
      <c r="AC68" s="131"/>
      <c r="AD68" s="131"/>
      <c r="AE68" s="131"/>
      <c r="AF68" s="131"/>
      <c r="AG68" s="131"/>
      <c r="AH68" s="131"/>
      <c r="AI68" s="131"/>
      <c r="AJ68" s="131"/>
      <c r="AK68" s="131"/>
      <c r="AL68" s="131"/>
      <c r="AM68" s="131"/>
      <c r="AN68" s="131"/>
      <c r="AO68" s="131"/>
      <c r="AP68" s="131"/>
      <c r="AQ68" s="131"/>
      <c r="AR68" s="131"/>
      <c r="AS68" s="131"/>
      <c r="AT68" s="131"/>
      <c r="AU68" s="131"/>
      <c r="AV68" s="131"/>
      <c r="AW68" s="131"/>
    </row>
    <row r="69" spans="1:49" x14ac:dyDescent="0.35">
      <c r="A69" s="131"/>
      <c r="B69" s="131"/>
      <c r="C69" s="131"/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1"/>
      <c r="AP69" s="131"/>
      <c r="AQ69" s="131"/>
      <c r="AR69" s="131"/>
      <c r="AS69" s="131"/>
      <c r="AT69" s="131"/>
      <c r="AU69" s="131"/>
      <c r="AV69" s="131"/>
      <c r="AW69" s="131"/>
    </row>
    <row r="70" spans="1:49" x14ac:dyDescent="0.35">
      <c r="A70" s="131"/>
      <c r="B70" s="131"/>
      <c r="C70" s="131"/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  <c r="AB70" s="131"/>
      <c r="AC70" s="131"/>
      <c r="AD70" s="131"/>
      <c r="AE70" s="131"/>
      <c r="AF70" s="131"/>
      <c r="AG70" s="131"/>
      <c r="AH70" s="131"/>
      <c r="AI70" s="131"/>
      <c r="AJ70" s="131"/>
      <c r="AK70" s="131"/>
      <c r="AL70" s="131"/>
      <c r="AM70" s="131"/>
      <c r="AN70" s="131"/>
      <c r="AO70" s="131"/>
      <c r="AP70" s="131"/>
      <c r="AQ70" s="131"/>
      <c r="AR70" s="131"/>
      <c r="AS70" s="131"/>
      <c r="AT70" s="131"/>
      <c r="AU70" s="131"/>
      <c r="AV70" s="131"/>
      <c r="AW70" s="131"/>
    </row>
    <row r="71" spans="1:49" x14ac:dyDescent="0.35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  <c r="AH71" s="131"/>
      <c r="AI71" s="131"/>
      <c r="AJ71" s="131"/>
      <c r="AK71" s="131"/>
      <c r="AL71" s="131"/>
      <c r="AM71" s="131"/>
      <c r="AN71" s="131"/>
      <c r="AO71" s="131"/>
      <c r="AP71" s="131"/>
      <c r="AQ71" s="131"/>
      <c r="AR71" s="131"/>
      <c r="AS71" s="131"/>
      <c r="AT71" s="131"/>
      <c r="AU71" s="131"/>
      <c r="AV71" s="131"/>
      <c r="AW71" s="131"/>
    </row>
    <row r="72" spans="1:49" x14ac:dyDescent="0.35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  <c r="AE72" s="131"/>
      <c r="AF72" s="131"/>
      <c r="AG72" s="131"/>
      <c r="AH72" s="131"/>
      <c r="AI72" s="131"/>
      <c r="AJ72" s="131"/>
      <c r="AK72" s="131"/>
      <c r="AL72" s="131"/>
      <c r="AM72" s="131"/>
      <c r="AN72" s="131"/>
      <c r="AO72" s="131"/>
      <c r="AP72" s="131"/>
      <c r="AQ72" s="131"/>
      <c r="AR72" s="131"/>
      <c r="AS72" s="131"/>
      <c r="AT72" s="131"/>
      <c r="AU72" s="131"/>
      <c r="AV72" s="131"/>
      <c r="AW72" s="131"/>
    </row>
    <row r="73" spans="1:49" x14ac:dyDescent="0.35">
      <c r="A73" s="131"/>
      <c r="B73" s="131"/>
      <c r="C73" s="131"/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  <c r="AE73" s="131"/>
      <c r="AF73" s="131"/>
      <c r="AG73" s="131"/>
      <c r="AH73" s="131"/>
      <c r="AI73" s="131"/>
      <c r="AJ73" s="131"/>
      <c r="AK73" s="131"/>
      <c r="AL73" s="131"/>
      <c r="AM73" s="131"/>
      <c r="AN73" s="131"/>
      <c r="AO73" s="131"/>
      <c r="AP73" s="131"/>
      <c r="AQ73" s="131"/>
      <c r="AR73" s="131"/>
      <c r="AS73" s="131"/>
      <c r="AT73" s="131"/>
      <c r="AU73" s="131"/>
      <c r="AV73" s="131"/>
      <c r="AW73" s="131"/>
    </row>
    <row r="74" spans="1:49" x14ac:dyDescent="0.35">
      <c r="A74" s="131"/>
      <c r="B74" s="131"/>
      <c r="C74" s="131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  <c r="AE74" s="131"/>
      <c r="AF74" s="131"/>
      <c r="AG74" s="131"/>
      <c r="AH74" s="131"/>
      <c r="AI74" s="131"/>
      <c r="AJ74" s="131"/>
      <c r="AK74" s="131"/>
      <c r="AL74" s="131"/>
      <c r="AM74" s="131"/>
      <c r="AN74" s="131"/>
      <c r="AO74" s="131"/>
      <c r="AP74" s="131"/>
      <c r="AQ74" s="131"/>
      <c r="AR74" s="131"/>
      <c r="AS74" s="131"/>
      <c r="AT74" s="131"/>
      <c r="AU74" s="131"/>
      <c r="AV74" s="131"/>
      <c r="AW74" s="131"/>
    </row>
    <row r="75" spans="1:49" x14ac:dyDescent="0.35">
      <c r="A75" s="131"/>
      <c r="B75" s="131"/>
      <c r="C75" s="131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  <c r="AE75" s="131"/>
      <c r="AF75" s="131"/>
      <c r="AG75" s="131"/>
      <c r="AH75" s="131"/>
      <c r="AI75" s="131"/>
      <c r="AJ75" s="131"/>
      <c r="AK75" s="131"/>
      <c r="AL75" s="131"/>
      <c r="AM75" s="131"/>
      <c r="AN75" s="131"/>
      <c r="AO75" s="131"/>
      <c r="AP75" s="131"/>
      <c r="AQ75" s="131"/>
      <c r="AR75" s="131"/>
      <c r="AS75" s="131"/>
      <c r="AT75" s="131"/>
      <c r="AU75" s="131"/>
      <c r="AV75" s="131"/>
      <c r="AW75" s="131"/>
    </row>
    <row r="76" spans="1:49" x14ac:dyDescent="0.35">
      <c r="A76" s="131"/>
      <c r="B76" s="131"/>
      <c r="C76" s="131"/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  <c r="AE76" s="131"/>
      <c r="AF76" s="131"/>
      <c r="AG76" s="131"/>
      <c r="AH76" s="131"/>
      <c r="AI76" s="131"/>
      <c r="AJ76" s="131"/>
      <c r="AK76" s="131"/>
      <c r="AL76" s="131"/>
      <c r="AM76" s="131"/>
      <c r="AN76" s="131"/>
      <c r="AO76" s="131"/>
      <c r="AP76" s="131"/>
      <c r="AQ76" s="131"/>
      <c r="AR76" s="131"/>
      <c r="AS76" s="131"/>
      <c r="AT76" s="131"/>
      <c r="AU76" s="131"/>
      <c r="AV76" s="131"/>
      <c r="AW76" s="131"/>
    </row>
    <row r="77" spans="1:49" x14ac:dyDescent="0.35">
      <c r="A77" s="131"/>
      <c r="B77" s="131"/>
      <c r="C77" s="131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  <c r="AE77" s="131"/>
      <c r="AF77" s="131"/>
      <c r="AG77" s="131"/>
      <c r="AH77" s="131"/>
      <c r="AI77" s="131"/>
      <c r="AJ77" s="131"/>
      <c r="AK77" s="131"/>
      <c r="AL77" s="131"/>
      <c r="AM77" s="131"/>
      <c r="AN77" s="131"/>
      <c r="AO77" s="131"/>
      <c r="AP77" s="131"/>
      <c r="AQ77" s="131"/>
      <c r="AR77" s="131"/>
      <c r="AS77" s="131"/>
      <c r="AT77" s="131"/>
      <c r="AU77" s="131"/>
      <c r="AV77" s="131"/>
      <c r="AW77" s="131"/>
    </row>
    <row r="78" spans="1:49" x14ac:dyDescent="0.35">
      <c r="A78" s="131"/>
      <c r="B78" s="131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  <c r="AE78" s="131"/>
      <c r="AF78" s="131"/>
      <c r="AG78" s="131"/>
      <c r="AH78" s="131"/>
      <c r="AI78" s="131"/>
      <c r="AJ78" s="131"/>
      <c r="AK78" s="131"/>
      <c r="AL78" s="131"/>
      <c r="AM78" s="131"/>
      <c r="AN78" s="131"/>
      <c r="AO78" s="131"/>
      <c r="AP78" s="131"/>
      <c r="AQ78" s="131"/>
      <c r="AR78" s="131"/>
      <c r="AS78" s="131"/>
      <c r="AT78" s="131"/>
      <c r="AU78" s="131"/>
      <c r="AV78" s="131"/>
      <c r="AW78" s="131"/>
    </row>
    <row r="79" spans="1:49" x14ac:dyDescent="0.35">
      <c r="A79" s="131"/>
      <c r="B79" s="131"/>
      <c r="C79" s="131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  <c r="AE79" s="131"/>
      <c r="AF79" s="131"/>
      <c r="AG79" s="131"/>
      <c r="AH79" s="131"/>
      <c r="AI79" s="131"/>
      <c r="AJ79" s="131"/>
      <c r="AK79" s="131"/>
      <c r="AL79" s="131"/>
      <c r="AM79" s="131"/>
      <c r="AN79" s="131"/>
      <c r="AO79" s="131"/>
      <c r="AP79" s="131"/>
      <c r="AQ79" s="131"/>
      <c r="AR79" s="131"/>
      <c r="AS79" s="131"/>
      <c r="AT79" s="131"/>
      <c r="AU79" s="131"/>
      <c r="AV79" s="131"/>
      <c r="AW79" s="131"/>
    </row>
    <row r="80" spans="1:49" x14ac:dyDescent="0.35">
      <c r="A80" s="131"/>
      <c r="B80" s="131"/>
      <c r="C80" s="131"/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31"/>
      <c r="Y80" s="131"/>
      <c r="Z80" s="131"/>
      <c r="AA80" s="131"/>
      <c r="AB80" s="131"/>
      <c r="AC80" s="131"/>
      <c r="AD80" s="131"/>
      <c r="AE80" s="131"/>
      <c r="AF80" s="131"/>
      <c r="AG80" s="131"/>
      <c r="AH80" s="131"/>
      <c r="AI80" s="131"/>
      <c r="AJ80" s="131"/>
      <c r="AK80" s="131"/>
      <c r="AL80" s="131"/>
      <c r="AM80" s="131"/>
      <c r="AN80" s="131"/>
      <c r="AO80" s="131"/>
      <c r="AP80" s="131"/>
      <c r="AQ80" s="131"/>
      <c r="AR80" s="131"/>
      <c r="AS80" s="131"/>
      <c r="AT80" s="131"/>
      <c r="AU80" s="131"/>
      <c r="AV80" s="131"/>
      <c r="AW80" s="131"/>
    </row>
    <row r="81" spans="1:49" x14ac:dyDescent="0.35">
      <c r="A81" s="131"/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  <c r="AA81" s="131"/>
      <c r="AB81" s="131"/>
      <c r="AC81" s="131"/>
      <c r="AD81" s="131"/>
      <c r="AE81" s="131"/>
      <c r="AF81" s="131"/>
      <c r="AG81" s="131"/>
      <c r="AH81" s="131"/>
      <c r="AI81" s="131"/>
      <c r="AJ81" s="131"/>
      <c r="AK81" s="131"/>
      <c r="AL81" s="131"/>
      <c r="AM81" s="131"/>
      <c r="AN81" s="131"/>
      <c r="AO81" s="131"/>
      <c r="AP81" s="131"/>
      <c r="AQ81" s="131"/>
      <c r="AR81" s="131"/>
      <c r="AS81" s="131"/>
      <c r="AT81" s="131"/>
      <c r="AU81" s="131"/>
      <c r="AV81" s="131"/>
      <c r="AW81" s="131"/>
    </row>
    <row r="82" spans="1:49" x14ac:dyDescent="0.35">
      <c r="A82" s="131"/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1"/>
      <c r="AE82" s="131"/>
      <c r="AF82" s="131"/>
      <c r="AG82" s="131"/>
      <c r="AH82" s="131"/>
      <c r="AI82" s="131"/>
      <c r="AJ82" s="131"/>
      <c r="AK82" s="131"/>
      <c r="AL82" s="131"/>
      <c r="AM82" s="131"/>
      <c r="AN82" s="131"/>
      <c r="AO82" s="131"/>
      <c r="AP82" s="131"/>
      <c r="AQ82" s="131"/>
      <c r="AR82" s="131"/>
      <c r="AS82" s="131"/>
      <c r="AT82" s="131"/>
      <c r="AU82" s="131"/>
      <c r="AV82" s="131"/>
      <c r="AW82" s="131"/>
    </row>
    <row r="83" spans="1:49" x14ac:dyDescent="0.35">
      <c r="A83" s="131"/>
      <c r="B83" s="131"/>
      <c r="C83" s="131"/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  <c r="AA83" s="131"/>
      <c r="AB83" s="131"/>
      <c r="AC83" s="131"/>
      <c r="AD83" s="131"/>
      <c r="AE83" s="131"/>
      <c r="AF83" s="131"/>
      <c r="AG83" s="131"/>
      <c r="AH83" s="131"/>
      <c r="AI83" s="131"/>
      <c r="AJ83" s="131"/>
      <c r="AK83" s="131"/>
      <c r="AL83" s="131"/>
      <c r="AM83" s="131"/>
      <c r="AN83" s="131"/>
      <c r="AO83" s="131"/>
      <c r="AP83" s="131"/>
      <c r="AQ83" s="131"/>
      <c r="AR83" s="131"/>
      <c r="AS83" s="131"/>
      <c r="AT83" s="131"/>
      <c r="AU83" s="131"/>
      <c r="AV83" s="131"/>
      <c r="AW83" s="131"/>
    </row>
    <row r="84" spans="1:49" x14ac:dyDescent="0.35">
      <c r="A84" s="131"/>
      <c r="B84" s="131"/>
      <c r="C84" s="131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  <c r="AH84" s="131"/>
      <c r="AI84" s="131"/>
      <c r="AJ84" s="131"/>
      <c r="AK84" s="131"/>
      <c r="AL84" s="131"/>
      <c r="AM84" s="131"/>
      <c r="AN84" s="131"/>
      <c r="AO84" s="131"/>
      <c r="AP84" s="131"/>
      <c r="AQ84" s="131"/>
      <c r="AR84" s="131"/>
      <c r="AS84" s="131"/>
      <c r="AT84" s="131"/>
      <c r="AU84" s="131"/>
      <c r="AV84" s="131"/>
      <c r="AW84" s="131"/>
    </row>
    <row r="85" spans="1:49" x14ac:dyDescent="0.35">
      <c r="A85" s="131"/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31"/>
      <c r="Y85" s="131"/>
      <c r="Z85" s="131"/>
      <c r="AA85" s="131"/>
      <c r="AB85" s="131"/>
      <c r="AC85" s="131"/>
      <c r="AD85" s="131"/>
      <c r="AE85" s="131"/>
      <c r="AF85" s="131"/>
      <c r="AG85" s="131"/>
      <c r="AH85" s="131"/>
      <c r="AI85" s="131"/>
      <c r="AJ85" s="131"/>
      <c r="AK85" s="131"/>
      <c r="AL85" s="131"/>
      <c r="AM85" s="131"/>
      <c r="AN85" s="131"/>
      <c r="AO85" s="131"/>
      <c r="AP85" s="131"/>
      <c r="AQ85" s="131"/>
      <c r="AR85" s="131"/>
      <c r="AS85" s="131"/>
      <c r="AT85" s="131"/>
      <c r="AU85" s="131"/>
      <c r="AV85" s="131"/>
      <c r="AW85" s="131"/>
    </row>
    <row r="86" spans="1:49" x14ac:dyDescent="0.35">
      <c r="A86" s="131"/>
      <c r="B86" s="131"/>
      <c r="C86" s="131"/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  <c r="AA86" s="131"/>
      <c r="AB86" s="131"/>
      <c r="AC86" s="131"/>
      <c r="AD86" s="131"/>
      <c r="AE86" s="131"/>
      <c r="AF86" s="131"/>
      <c r="AG86" s="131"/>
      <c r="AH86" s="131"/>
      <c r="AI86" s="131"/>
      <c r="AJ86" s="131"/>
      <c r="AK86" s="131"/>
      <c r="AL86" s="131"/>
      <c r="AM86" s="131"/>
      <c r="AN86" s="131"/>
      <c r="AO86" s="131"/>
      <c r="AP86" s="131"/>
      <c r="AQ86" s="131"/>
      <c r="AR86" s="131"/>
      <c r="AS86" s="131"/>
      <c r="AT86" s="131"/>
      <c r="AU86" s="131"/>
      <c r="AV86" s="131"/>
      <c r="AW86" s="131"/>
    </row>
    <row r="87" spans="1:49" x14ac:dyDescent="0.35">
      <c r="A87" s="131"/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  <c r="AA87" s="131"/>
      <c r="AB87" s="131"/>
      <c r="AC87" s="131"/>
      <c r="AD87" s="131"/>
      <c r="AE87" s="131"/>
      <c r="AF87" s="131"/>
      <c r="AG87" s="131"/>
      <c r="AH87" s="131"/>
      <c r="AI87" s="131"/>
      <c r="AJ87" s="131"/>
      <c r="AK87" s="131"/>
      <c r="AL87" s="131"/>
      <c r="AM87" s="131"/>
      <c r="AN87" s="131"/>
      <c r="AO87" s="131"/>
      <c r="AP87" s="131"/>
      <c r="AQ87" s="131"/>
      <c r="AR87" s="131"/>
      <c r="AS87" s="131"/>
      <c r="AT87" s="131"/>
      <c r="AU87" s="131"/>
      <c r="AV87" s="131"/>
      <c r="AW87" s="131"/>
    </row>
    <row r="88" spans="1:49" x14ac:dyDescent="0.35">
      <c r="A88" s="131"/>
      <c r="B88" s="131"/>
      <c r="C88" s="131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  <c r="V88" s="131"/>
      <c r="W88" s="131"/>
      <c r="X88" s="131"/>
      <c r="Y88" s="131"/>
      <c r="Z88" s="131"/>
      <c r="AA88" s="131"/>
      <c r="AB88" s="131"/>
      <c r="AC88" s="131"/>
      <c r="AD88" s="131"/>
      <c r="AE88" s="131"/>
      <c r="AF88" s="131"/>
      <c r="AG88" s="131"/>
      <c r="AH88" s="131"/>
      <c r="AI88" s="131"/>
      <c r="AJ88" s="131"/>
      <c r="AK88" s="131"/>
      <c r="AL88" s="131"/>
      <c r="AM88" s="131"/>
      <c r="AN88" s="131"/>
      <c r="AO88" s="131"/>
      <c r="AP88" s="131"/>
      <c r="AQ88" s="131"/>
      <c r="AR88" s="131"/>
      <c r="AS88" s="131"/>
      <c r="AT88" s="131"/>
      <c r="AU88" s="131"/>
      <c r="AV88" s="131"/>
      <c r="AW88" s="131"/>
    </row>
    <row r="89" spans="1:49" x14ac:dyDescent="0.35">
      <c r="A89" s="131"/>
      <c r="B89" s="131"/>
      <c r="C89" s="131"/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31"/>
      <c r="Y89" s="131"/>
      <c r="Z89" s="131"/>
      <c r="AA89" s="131"/>
      <c r="AB89" s="131"/>
      <c r="AC89" s="131"/>
      <c r="AD89" s="131"/>
      <c r="AE89" s="131"/>
      <c r="AF89" s="131"/>
      <c r="AG89" s="131"/>
      <c r="AH89" s="131"/>
      <c r="AI89" s="131"/>
      <c r="AJ89" s="131"/>
      <c r="AK89" s="131"/>
      <c r="AL89" s="131"/>
      <c r="AM89" s="131"/>
      <c r="AN89" s="131"/>
      <c r="AO89" s="131"/>
      <c r="AP89" s="131"/>
      <c r="AQ89" s="131"/>
      <c r="AR89" s="131"/>
      <c r="AS89" s="131"/>
      <c r="AT89" s="131"/>
      <c r="AU89" s="131"/>
      <c r="AV89" s="131"/>
      <c r="AW89" s="131"/>
    </row>
    <row r="90" spans="1:49" x14ac:dyDescent="0.35">
      <c r="A90" s="131"/>
      <c r="B90" s="131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  <c r="AH90" s="131"/>
      <c r="AI90" s="131"/>
      <c r="AJ90" s="131"/>
      <c r="AK90" s="131"/>
      <c r="AL90" s="131"/>
      <c r="AM90" s="131"/>
      <c r="AN90" s="131"/>
      <c r="AO90" s="131"/>
      <c r="AP90" s="131"/>
      <c r="AQ90" s="131"/>
      <c r="AR90" s="131"/>
      <c r="AS90" s="131"/>
      <c r="AT90" s="131"/>
      <c r="AU90" s="131"/>
      <c r="AV90" s="131"/>
      <c r="AW90" s="131"/>
    </row>
    <row r="91" spans="1:49" x14ac:dyDescent="0.35">
      <c r="A91" s="131"/>
      <c r="B91" s="131"/>
      <c r="C91" s="131"/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131"/>
      <c r="AD91" s="131"/>
      <c r="AE91" s="131"/>
      <c r="AF91" s="131"/>
      <c r="AG91" s="131"/>
      <c r="AH91" s="131"/>
      <c r="AI91" s="131"/>
      <c r="AJ91" s="131"/>
      <c r="AK91" s="131"/>
      <c r="AL91" s="131"/>
      <c r="AM91" s="131"/>
      <c r="AN91" s="131"/>
      <c r="AO91" s="131"/>
      <c r="AP91" s="131"/>
      <c r="AQ91" s="131"/>
      <c r="AR91" s="131"/>
      <c r="AS91" s="131"/>
      <c r="AT91" s="131"/>
      <c r="AU91" s="131"/>
      <c r="AV91" s="131"/>
      <c r="AW91" s="131"/>
    </row>
    <row r="92" spans="1:49" x14ac:dyDescent="0.35">
      <c r="A92" s="131"/>
      <c r="B92" s="131"/>
      <c r="C92" s="131"/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31"/>
      <c r="AI92" s="131"/>
      <c r="AJ92" s="131"/>
      <c r="AK92" s="131"/>
      <c r="AL92" s="131"/>
      <c r="AM92" s="131"/>
      <c r="AN92" s="131"/>
      <c r="AO92" s="131"/>
      <c r="AP92" s="131"/>
      <c r="AQ92" s="131"/>
      <c r="AR92" s="131"/>
      <c r="AS92" s="131"/>
      <c r="AT92" s="131"/>
      <c r="AU92" s="131"/>
      <c r="AV92" s="131"/>
      <c r="AW92" s="131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1">
    <mergeCell ref="D32:K36"/>
  </mergeCells>
  <phoneticPr fontId="29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>
                <anchor moveWithCells="1">
                  <from>
                    <xdr:col>2</xdr:col>
                    <xdr:colOff>28725</xdr:colOff>
                    <xdr:row>8</xdr:row>
                    <xdr:rowOff>47874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>
                <anchor moveWithCells="1">
                  <from>
                    <xdr:col>2</xdr:col>
                    <xdr:colOff>28725</xdr:colOff>
                    <xdr:row>9</xdr:row>
                    <xdr:rowOff>47874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>
                <anchor moveWithCells="1">
                  <from>
                    <xdr:col>2</xdr:col>
                    <xdr:colOff>28725</xdr:colOff>
                    <xdr:row>10</xdr:row>
                    <xdr:rowOff>47874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2</xdr:col>
                    <xdr:colOff>28725</xdr:colOff>
                    <xdr:row>11</xdr:row>
                    <xdr:rowOff>47874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>
                <anchor moveWithCells="1">
                  <from>
                    <xdr:col>2</xdr:col>
                    <xdr:colOff>28725</xdr:colOff>
                    <xdr:row>12</xdr:row>
                    <xdr:rowOff>47874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>
                <anchor moveWithCells="1">
                  <from>
                    <xdr:col>2</xdr:col>
                    <xdr:colOff>28725</xdr:colOff>
                    <xdr:row>13</xdr:row>
                    <xdr:rowOff>47874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>
                <anchor moveWithCells="1">
                  <from>
                    <xdr:col>2</xdr:col>
                    <xdr:colOff>28725</xdr:colOff>
                    <xdr:row>14</xdr:row>
                    <xdr:rowOff>47874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>
                <anchor moveWithCells="1">
                  <from>
                    <xdr:col>2</xdr:col>
                    <xdr:colOff>28725</xdr:colOff>
                    <xdr:row>15</xdr:row>
                    <xdr:rowOff>47874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>
                <anchor moveWithCells="1">
                  <from>
                    <xdr:col>2</xdr:col>
                    <xdr:colOff>28725</xdr:colOff>
                    <xdr:row>16</xdr:row>
                    <xdr:rowOff>47874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6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7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8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9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30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23</xdr:row>
                    <xdr:rowOff>28725</xdr:rowOff>
                  </from>
                  <to>
                    <xdr:col>4</xdr:col>
                    <xdr:colOff>646304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1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2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3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23</xdr:row>
                    <xdr:rowOff>19150</xdr:rowOff>
                  </from>
                  <to>
                    <xdr:col>6</xdr:col>
                    <xdr:colOff>962274</xdr:colOff>
                    <xdr:row>23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4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5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6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7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8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9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40" name="Drop Down 76">
              <controlPr defaultSize="0" autoLine="0" autoPict="0">
                <anchor moveWithCells="1">
                  <from>
                    <xdr:col>2</xdr:col>
                    <xdr:colOff>28725</xdr:colOff>
                    <xdr:row>17</xdr:row>
                    <xdr:rowOff>47874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1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17</xdr:row>
                    <xdr:rowOff>19150</xdr:rowOff>
                  </from>
                  <to>
                    <xdr:col>5</xdr:col>
                    <xdr:colOff>722903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7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7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7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7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7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7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7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7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17</xdr:row>
                    <xdr:rowOff>9575</xdr:rowOff>
                  </from>
                  <to>
                    <xdr:col>7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799502</xdr:colOff>
                    <xdr:row>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608004</xdr:colOff>
                    <xdr:row>9</xdr:row>
                    <xdr:rowOff>9575</xdr:rowOff>
                  </from>
                  <to>
                    <xdr:col>5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608004</xdr:colOff>
                    <xdr:row>10</xdr:row>
                    <xdr:rowOff>9575</xdr:rowOff>
                  </from>
                  <to>
                    <xdr:col>5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608004</xdr:colOff>
                    <xdr:row>11</xdr:row>
                    <xdr:rowOff>9575</xdr:rowOff>
                  </from>
                  <to>
                    <xdr:col>5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608004</xdr:colOff>
                    <xdr:row>12</xdr:row>
                    <xdr:rowOff>9575</xdr:rowOff>
                  </from>
                  <to>
                    <xdr:col>5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608004</xdr:colOff>
                    <xdr:row>13</xdr:row>
                    <xdr:rowOff>9575</xdr:rowOff>
                  </from>
                  <to>
                    <xdr:col>5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608004</xdr:colOff>
                    <xdr:row>14</xdr:row>
                    <xdr:rowOff>9575</xdr:rowOff>
                  </from>
                  <to>
                    <xdr:col>5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608004</xdr:colOff>
                    <xdr:row>15</xdr:row>
                    <xdr:rowOff>9575</xdr:rowOff>
                  </from>
                  <to>
                    <xdr:col>5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608004</xdr:colOff>
                    <xdr:row>16</xdr:row>
                    <xdr:rowOff>9575</xdr:rowOff>
                  </from>
                  <to>
                    <xdr:col>5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608004</xdr:colOff>
                    <xdr:row>17</xdr:row>
                    <xdr:rowOff>9575</xdr:rowOff>
                  </from>
                  <to>
                    <xdr:col>5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1" name="Spinner 126">
              <controlPr defaultSize="0" autoPict="0">
                <anchor moveWithCells="1" sizeWithCells="1">
                  <from>
                    <xdr:col>3</xdr:col>
                    <xdr:colOff>789927</xdr:colOff>
                    <xdr:row>11</xdr:row>
                    <xdr:rowOff>28725</xdr:rowOff>
                  </from>
                  <to>
                    <xdr:col>4</xdr:col>
                    <xdr:colOff>0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2" name="Spinner 127">
              <controlPr defaultSize="0" autoPict="0">
                <anchor moveWithCells="1" sizeWithCells="1">
                  <from>
                    <xdr:col>3</xdr:col>
                    <xdr:colOff>789927</xdr:colOff>
                    <xdr:row>12</xdr:row>
                    <xdr:rowOff>28725</xdr:rowOff>
                  </from>
                  <to>
                    <xdr:col>4</xdr:col>
                    <xdr:colOff>0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3" name="Spinner 128">
              <controlPr defaultSize="0" autoPict="0">
                <anchor moveWithCells="1" sizeWithCells="1">
                  <from>
                    <xdr:col>3</xdr:col>
                    <xdr:colOff>789927</xdr:colOff>
                    <xdr:row>13</xdr:row>
                    <xdr:rowOff>28725</xdr:rowOff>
                  </from>
                  <to>
                    <xdr:col>4</xdr:col>
                    <xdr:colOff>0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4" name="Spinner 129">
              <controlPr defaultSize="0" autoPict="0">
                <anchor moveWithCells="1" sizeWithCells="1">
                  <from>
                    <xdr:col>3</xdr:col>
                    <xdr:colOff>789927</xdr:colOff>
                    <xdr:row>14</xdr:row>
                    <xdr:rowOff>28725</xdr:rowOff>
                  </from>
                  <to>
                    <xdr:col>4</xdr:col>
                    <xdr:colOff>0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5" name="Spinner 130">
              <controlPr defaultSize="0" autoPict="0">
                <anchor moveWithCells="1" sizeWithCells="1">
                  <from>
                    <xdr:col>3</xdr:col>
                    <xdr:colOff>789927</xdr:colOff>
                    <xdr:row>15</xdr:row>
                    <xdr:rowOff>28725</xdr:rowOff>
                  </from>
                  <to>
                    <xdr:col>4</xdr:col>
                    <xdr:colOff>0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6" name="Spinner 131">
              <controlPr defaultSize="0" autoPict="0">
                <anchor moveWithCells="1" sizeWithCells="1">
                  <from>
                    <xdr:col>3</xdr:col>
                    <xdr:colOff>789927</xdr:colOff>
                    <xdr:row>16</xdr:row>
                    <xdr:rowOff>28725</xdr:rowOff>
                  </from>
                  <to>
                    <xdr:col>4</xdr:col>
                    <xdr:colOff>0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7" name="Spinner 132">
              <controlPr defaultSize="0" autoPict="0">
                <anchor moveWithCells="1" sizeWithCells="1">
                  <from>
                    <xdr:col>3</xdr:col>
                    <xdr:colOff>789927</xdr:colOff>
                    <xdr:row>17</xdr:row>
                    <xdr:rowOff>28725</xdr:rowOff>
                  </from>
                  <to>
                    <xdr:col>4</xdr:col>
                    <xdr:colOff>0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8" name="Spinner 113">
              <controlPr defaultSize="0" autoPict="0">
                <anchor moveWithCells="1" sizeWithCells="1">
                  <from>
                    <xdr:col>4</xdr:col>
                    <xdr:colOff>608004</xdr:colOff>
                    <xdr:row>8</xdr:row>
                    <xdr:rowOff>9575</xdr:rowOff>
                  </from>
                  <to>
                    <xdr:col>5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9" name="Spinner 123">
              <controlPr defaultSize="0" autoPict="0">
                <anchor moveWithCells="1" sizeWithCells="1">
                  <from>
                    <xdr:col>3</xdr:col>
                    <xdr:colOff>789927</xdr:colOff>
                    <xdr:row>8</xdr:row>
                    <xdr:rowOff>28725</xdr:rowOff>
                  </from>
                  <to>
                    <xdr:col>4</xdr:col>
                    <xdr:colOff>0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0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7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71" name="Spinner 124">
              <controlPr defaultSize="0" autoPict="0">
                <anchor moveWithCells="1" sizeWithCells="1">
                  <from>
                    <xdr:col>3</xdr:col>
                    <xdr:colOff>789927</xdr:colOff>
                    <xdr:row>9</xdr:row>
                    <xdr:rowOff>28725</xdr:rowOff>
                  </from>
                  <to>
                    <xdr:col>4</xdr:col>
                    <xdr:colOff>0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72" name="Spinner 125">
              <controlPr defaultSize="0" autoPict="0">
                <anchor moveWithCells="1" sizeWithCells="1">
                  <from>
                    <xdr:col>3</xdr:col>
                    <xdr:colOff>789927</xdr:colOff>
                    <xdr:row>10</xdr:row>
                    <xdr:rowOff>28725</xdr:rowOff>
                  </from>
                  <to>
                    <xdr:col>4</xdr:col>
                    <xdr:colOff>0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3" name="Button 133">
              <controlPr defaultSize="0" print="0" autoFill="0" autoPict="0" macro="[0]!SetMedContIVToStand_01">
                <anchor moveWithCells="1" sizeWithCells="1">
                  <from>
                    <xdr:col>0</xdr:col>
                    <xdr:colOff>67024</xdr:colOff>
                    <xdr:row>8</xdr:row>
                    <xdr:rowOff>57449</xdr:rowOff>
                  </from>
                  <to>
                    <xdr:col>1</xdr:col>
                    <xdr:colOff>28725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4" name="Button 134">
              <controlPr defaultSize="0" print="0" autoFill="0" autoPict="0" macro="[0]!SetMedContIVToStand_02">
                <anchor moveWithCells="1" sizeWithCells="1">
                  <from>
                    <xdr:col>0</xdr:col>
                    <xdr:colOff>67024</xdr:colOff>
                    <xdr:row>9</xdr:row>
                    <xdr:rowOff>47874</xdr:rowOff>
                  </from>
                  <to>
                    <xdr:col>1</xdr:col>
                    <xdr:colOff>28725</xdr:colOff>
                    <xdr:row>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5" name="Button 135">
              <controlPr defaultSize="0" print="0" autoFill="0" autoPict="0" macro="[0]!SetMedContIVToStand_03">
                <anchor moveWithCells="1" sizeWithCells="1">
                  <from>
                    <xdr:col>0</xdr:col>
                    <xdr:colOff>67024</xdr:colOff>
                    <xdr:row>10</xdr:row>
                    <xdr:rowOff>57449</xdr:rowOff>
                  </from>
                  <to>
                    <xdr:col>1</xdr:col>
                    <xdr:colOff>28725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6" name="Button 136">
              <controlPr defaultSize="0" print="0" autoFill="0" autoPict="0" macro="[0]!SetMedContIVToStand_04">
                <anchor moveWithCells="1" sizeWithCells="1">
                  <from>
                    <xdr:col>0</xdr:col>
                    <xdr:colOff>67024</xdr:colOff>
                    <xdr:row>11</xdr:row>
                    <xdr:rowOff>57449</xdr:rowOff>
                  </from>
                  <to>
                    <xdr:col>1</xdr:col>
                    <xdr:colOff>28725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7" name="Button 137">
              <controlPr defaultSize="0" print="0" autoFill="0" autoPict="0" macro="[0]!SetMedContIVToStand_05">
                <anchor moveWithCells="1" sizeWithCells="1">
                  <from>
                    <xdr:col>0</xdr:col>
                    <xdr:colOff>67024</xdr:colOff>
                    <xdr:row>12</xdr:row>
                    <xdr:rowOff>57449</xdr:rowOff>
                  </from>
                  <to>
                    <xdr:col>1</xdr:col>
                    <xdr:colOff>28725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8" name="Button 138">
              <controlPr defaultSize="0" print="0" autoFill="0" autoPict="0" macro="[0]!SetMedContIVToStand_06">
                <anchor moveWithCells="1" sizeWithCells="1">
                  <from>
                    <xdr:col>0</xdr:col>
                    <xdr:colOff>67024</xdr:colOff>
                    <xdr:row>13</xdr:row>
                    <xdr:rowOff>57449</xdr:rowOff>
                  </from>
                  <to>
                    <xdr:col>1</xdr:col>
                    <xdr:colOff>28725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9" name="Button 139">
              <controlPr defaultSize="0" print="0" autoFill="0" autoPict="0" macro="[0]!SetMedContIVToStand_07">
                <anchor moveWithCells="1" sizeWithCells="1">
                  <from>
                    <xdr:col>0</xdr:col>
                    <xdr:colOff>67024</xdr:colOff>
                    <xdr:row>14</xdr:row>
                    <xdr:rowOff>57449</xdr:rowOff>
                  </from>
                  <to>
                    <xdr:col>1</xdr:col>
                    <xdr:colOff>28725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80" name="Button 140">
              <controlPr defaultSize="0" print="0" autoFill="0" autoPict="0" macro="[0]!SetMedContIVToStand_08">
                <anchor moveWithCells="1" sizeWithCells="1">
                  <from>
                    <xdr:col>0</xdr:col>
                    <xdr:colOff>67024</xdr:colOff>
                    <xdr:row>15</xdr:row>
                    <xdr:rowOff>57449</xdr:rowOff>
                  </from>
                  <to>
                    <xdr:col>1</xdr:col>
                    <xdr:colOff>28725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81" name="Button 141">
              <controlPr defaultSize="0" print="0" autoFill="0" autoPict="0" macro="[0]!SetMedContIVToStand_09">
                <anchor moveWithCells="1" sizeWithCells="1">
                  <from>
                    <xdr:col>0</xdr:col>
                    <xdr:colOff>67024</xdr:colOff>
                    <xdr:row>16</xdr:row>
                    <xdr:rowOff>57449</xdr:rowOff>
                  </from>
                  <to>
                    <xdr:col>1</xdr:col>
                    <xdr:colOff>28725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82" name="Button 142">
              <controlPr defaultSize="0" print="0" autoFill="0" autoPict="0" macro="[0]!SetMedContIVToStand_10">
                <anchor moveWithCells="1" sizeWithCells="1">
                  <from>
                    <xdr:col>0</xdr:col>
                    <xdr:colOff>67024</xdr:colOff>
                    <xdr:row>17</xdr:row>
                    <xdr:rowOff>57449</xdr:rowOff>
                  </from>
                  <to>
                    <xdr:col>1</xdr:col>
                    <xdr:colOff>28725</xdr:colOff>
                    <xdr:row>17</xdr:row>
                    <xdr:rowOff>210647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stopIfTrue="1" id="{ABA217F0-E6FE-4538-B727-27A66C400466}">
            <xm:f>IF(C9&lt;&gt;0,IF(H9&gt;=INDEX(tblMedicationContIV,PedBerMedIV!$B3,21),TRUE,FALSE),FALSE)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32" id="{F43BEC40-487F-48BF-A57F-2A457EBC2412}">
            <xm:f>IF(C9&lt;&gt;0,IF(AND(H9&gt;=INDEX(tblMedicationContIV,PedBerMedIV!$B3,19),H9&lt;=INDEX(tblMedicationContIV,PedBerMedIV!$B3,20)),TRUE,FALSE),TRUE)=FALSE</xm:f>
            <x14:dxf>
              <fill>
                <patternFill patternType="solid">
                  <bgColor rgb="FFFFFF66"/>
                </patternFill>
              </fill>
              <border>
                <left/>
                <right/>
                <top/>
                <bottom/>
              </border>
            </x14:dxf>
          </x14:cfRule>
          <xm:sqref>H9:H18</xm:sqref>
        </x14:conditionalFormatting>
        <x14:conditionalFormatting xmlns:xm="http://schemas.microsoft.com/office/excel/2006/main">
          <x14:cfRule type="expression" priority="20" id="{2CF69B56-ACCB-4090-A0A4-BA7162ACE445}">
            <xm:f>AND(INDEX(tblBerMedContIV,2,3)&gt;0,INDEX(tblBerMedContIV,2,3)&lt;&gt;INDEX(tblMedicationContIV,PedBerMedIV!$B3,11))</xm:f>
            <x14:dxf>
              <fill>
                <patternFill>
                  <bgColor theme="3" tint="0.59996337778862885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19" id="{E02ECBA0-CED2-411F-8FCA-199FA8FD845C}">
            <xm:f>AND(INDEX(tblBerMedContIV,3,3)&gt;0,INDEX(tblBerMedContIV,3,3)&lt;&gt;INDEX(tblMedicationContIV,PedBerMedIV!$B4,11))</xm:f>
            <x14:dxf>
              <fill>
                <patternFill>
                  <bgColor theme="3" tint="0.59996337778862885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18" id="{9864253C-6AD4-4565-B9F5-31E2518C1F67}">
            <xm:f>AND(INDEX(tblBerMedContIV,4,3)&gt;0,INDEX(tblBerMedContIV,4,3)&lt;&gt;INDEX(tblMedicationContIV,PedBerMedIV!$B5,11))</xm:f>
            <x14:dxf>
              <fill>
                <patternFill>
                  <bgColor theme="3" tint="0.59996337778862885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17" id="{BA3533CC-B411-45ED-90D8-08818A88B91F}">
            <xm:f>AND(INDEX(tblBerMedContIV,5,3)&gt;0,INDEX(tblBerMedContIV,5,3)&lt;&gt;INDEX(tblMedicationContIV,PedBerMedIV!$B6,11))</xm:f>
            <x14:dxf>
              <fill>
                <patternFill>
                  <bgColor theme="3" tint="0.59996337778862885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16" id="{E54AF02B-5FA2-46BA-B43D-258013272E9E}">
            <xm:f>AND(INDEX(tblBerMedContIV,6,3)&gt;0,INDEX(tblBerMedContIV,6,3)&lt;&gt;INDEX(tblMedicationContIV,PedBerMedIV!$B7,11))</xm:f>
            <x14:dxf>
              <fill>
                <patternFill>
                  <bgColor theme="3" tint="0.59996337778862885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15" id="{D7883C89-27AA-4CE4-B473-0370B77D917F}">
            <xm:f>AND(INDEX(tblBerMedContIV,7,3)&gt;0,INDEX(tblBerMedContIV,7,3)&lt;&gt;INDEX(tblMedicationContIV,PedBerMedIV!$B8,11))</xm:f>
            <x14:dxf>
              <fill>
                <patternFill>
                  <bgColor theme="3" tint="0.59996337778862885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4" id="{0B4189D0-CEC9-4ED1-B0CA-5BF1776981CC}">
            <xm:f>AND(INDEX(tblBerMedContIV,8,3)&gt;0,INDEX(tblBerMedContIV,8,3)&lt;&gt;INDEX(tblMedicationContIV,PedBerMedIV!$B9,11))</xm:f>
            <x14:dxf>
              <fill>
                <patternFill>
                  <bgColor theme="3" tint="0.59996337778862885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3" id="{BD897F85-13FF-4751-B48B-0E7CBF98E47D}">
            <xm:f>AND(INDEX(tblBerMedContIV,9,3)&gt;0,INDEX(tblBerMedContIV,9,3)&lt;&gt;INDEX(tblMedicationContIV,PedBerMedIV!$B10,11))</xm:f>
            <x14:dxf>
              <fill>
                <patternFill>
                  <bgColor theme="3" tint="0.59996337778862885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1E6D53EC-786E-4251-8956-C7E7249DA22E}">
            <xm:f>AND(INDEX(tblBerMedContIV,10,3)&gt;0,INDEX(tblBerMedContIV,10,3)&lt;&gt;INDEX(tblMedicationContIV,PedBerMedIV!$B11,11))</xm:f>
            <x14:dxf>
              <fill>
                <patternFill>
                  <bgColor theme="3" tint="0.59996337778862885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2E59F284-E8F1-4F11-8CA1-43131A066A8D}">
            <xm:f>AND(INDEX(tblBerMedContIV,11,3)&gt;0,INDEX(tblBerMedContIV,11,3)&lt;&gt;INDEX(tblMedicationContIV,PedBerMedIV!$B12,11))</xm:f>
            <x14:dxf>
              <fill>
                <patternFill>
                  <bgColor theme="3" tint="0.59996337778862885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0" id="{03B938E8-7A28-4ECD-823F-861875FD93E6}">
            <xm:f>AND(INDEX(tblBerMedContIV,2,4)&gt;0,INDEX(tblBerMedContIV,2,4)&lt;&gt;INDEX(tblMedicationContIV,PedBerMedIV!$B3,12))</xm:f>
            <x14:dxf>
              <fill>
                <patternFill>
                  <bgColor theme="4" tint="0.59996337778862885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9" id="{7CCED440-0B84-426D-9481-1B1DBE34164F}">
            <xm:f>AND(INDEX(tblBerMedContIV,3,4)&gt;0,INDEX(tblBerMedContIV,3,4)&lt;&gt;INDEX(tblMedicationContIV,PedBerMedIV!$B4,12))</xm:f>
            <x14:dxf>
              <fill>
                <patternFill>
                  <bgColor theme="4" tint="0.59996337778862885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8" id="{B9C7EC82-45A2-48EF-B3F9-5D6CFA603B21}">
            <xm:f>AND(INDEX(tblBerMedContIV,4,4)&gt;0,INDEX(tblBerMedContIV,4,4)&lt;&gt;INDEX(tblMedicationContIV,PedBerMedIV!$B5,12))</xm:f>
            <x14:dxf>
              <fill>
                <patternFill>
                  <bgColor theme="4" tint="0.59996337778862885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7" id="{02F53408-04A7-4D2E-80D0-B012B719C16B}">
            <xm:f>AND(INDEX(tblBerMedContIV,5,4)&gt;0,INDEX(tblBerMedContIV,5,4)&lt;&gt;INDEX(tblMedicationContIV,PedBerMedIV!$B6,12))</xm:f>
            <x14:dxf>
              <fill>
                <patternFill>
                  <bgColor theme="4" tint="0.59996337778862885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6" id="{0B06190E-CA79-4443-A050-C5D1C3310F86}">
            <xm:f>AND(INDEX(tblBerMedContIV,6,4)&gt;0,INDEX(tblBerMedContIV,6,4)&lt;&gt;INDEX(tblMedicationContIV,PedBerMedIV!$B7,12))</xm:f>
            <x14:dxf>
              <fill>
                <patternFill>
                  <bgColor theme="4" tint="0.59996337778862885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5" id="{5CF3589E-AEB4-490F-BD5A-1439F330F711}">
            <xm:f>AND(INDEX(tblBerMedContIV,7,4)&gt;0,INDEX(tblBerMedContIV,7,4)&lt;&gt;INDEX(tblMedicationContIV,PedBerMedIV!$B8,12))</xm:f>
            <x14:dxf>
              <fill>
                <patternFill>
                  <bgColor theme="4" tint="0.59996337778862885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4" id="{4E85F310-DCA3-4442-A473-473DBDA6FEAD}">
            <xm:f>AND(INDEX(tblBerMedContIV,8,4)&gt;0,INDEX(tblBerMedContIV,8,4)&lt;&gt;INDEX(tblMedicationContIV,PedBerMedIV!$B9,12))</xm:f>
            <x14:dxf>
              <fill>
                <patternFill>
                  <bgColor theme="4" tint="0.59996337778862885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3" id="{B3726956-A752-4FD4-AEDB-8A3A08315510}">
            <xm:f>AND(INDEX(tblBerMedContIV,9,4)&gt;0,INDEX(tblBerMedContIV,9,4)&lt;&gt;INDEX(tblMedicationContIV,PedBerMedIV!$B10,12))</xm:f>
            <x14:dxf>
              <fill>
                <patternFill>
                  <bgColor theme="4" tint="0.59996337778862885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9366E3CA-6DB1-4D80-9849-BA787A8C3330}">
            <xm:f>AND(INDEX(tblBerMedContIV,10,4)&gt;0,INDEX(tblBerMedContIV,10,4)&lt;&gt;INDEX(tblMedicationContIV,PedBerMedIV!$B11,12))</xm:f>
            <x14:dxf>
              <fill>
                <patternFill>
                  <bgColor theme="4" tint="0.59996337778862885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1" id="{2FE6E869-C9C1-41D4-B697-2199A02797D2}">
            <xm:f>AND(INDEX(tblBerMedContIV,11,4)&gt;0,INDEX(tblBerMedContIV,11,4)&lt;&gt;INDEX(tblMedicationContIV,PedBerMedIV!$B12,12))</xm:f>
            <x14:dxf>
              <fill>
                <patternFill>
                  <bgColor theme="3" tint="0.79998168889431442"/>
                </patternFill>
              </fill>
            </x14:dxf>
          </x14:cfRule>
          <xm:sqref>E18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V27"/>
  <sheetViews>
    <sheetView workbookViewId="0">
      <selection activeCell="V13" sqref="V13"/>
    </sheetView>
  </sheetViews>
  <sheetFormatPr defaultColWidth="9.1328125" defaultRowHeight="12.85" x14ac:dyDescent="0.35"/>
  <cols>
    <col min="1" max="2" width="7.265625" customWidth="1"/>
    <col min="3" max="3" width="13.3984375" customWidth="1"/>
    <col min="4" max="4" width="11.33203125" customWidth="1"/>
    <col min="5" max="5" width="9" customWidth="1"/>
    <col min="6" max="7" width="9.73046875" style="517" bestFit="1" customWidth="1"/>
    <col min="8" max="8" width="7.265625" style="517" customWidth="1"/>
    <col min="9" max="19" width="7.265625" customWidth="1"/>
    <col min="20" max="20" width="9.86328125" bestFit="1" customWidth="1"/>
  </cols>
  <sheetData>
    <row r="1" spans="1:22" s="25" customFormat="1" ht="25.65" x14ac:dyDescent="0.35">
      <c r="A1" s="588" t="s">
        <v>519</v>
      </c>
      <c r="B1" s="25" t="s">
        <v>262</v>
      </c>
      <c r="C1" s="25" t="s">
        <v>513</v>
      </c>
      <c r="D1" s="25" t="s">
        <v>222</v>
      </c>
      <c r="E1" s="264" t="s">
        <v>514</v>
      </c>
      <c r="F1" s="264" t="s">
        <v>1194</v>
      </c>
      <c r="G1" s="264" t="s">
        <v>1195</v>
      </c>
      <c r="H1" s="264" t="s">
        <v>1196</v>
      </c>
      <c r="I1" s="264" t="s">
        <v>515</v>
      </c>
      <c r="J1" s="264" t="s">
        <v>52</v>
      </c>
      <c r="K1" s="264" t="s">
        <v>516</v>
      </c>
      <c r="L1" s="264" t="s">
        <v>517</v>
      </c>
      <c r="M1" s="264" t="s">
        <v>518</v>
      </c>
      <c r="N1" s="25" t="s">
        <v>303</v>
      </c>
      <c r="O1" s="25" t="s">
        <v>248</v>
      </c>
      <c r="P1" s="25" t="s">
        <v>249</v>
      </c>
      <c r="Q1" s="25" t="s">
        <v>417</v>
      </c>
      <c r="R1" s="25" t="s">
        <v>242</v>
      </c>
      <c r="T1" s="25" t="s">
        <v>205</v>
      </c>
    </row>
    <row r="2" spans="1:22" x14ac:dyDescent="0.35">
      <c r="A2">
        <v>0</v>
      </c>
      <c r="B2" s="827">
        <v>0</v>
      </c>
      <c r="C2" s="827">
        <v>1</v>
      </c>
      <c r="D2" s="827">
        <v>0</v>
      </c>
      <c r="E2" s="827">
        <v>0</v>
      </c>
      <c r="F2" s="827"/>
      <c r="G2" s="827"/>
      <c r="H2" s="827" t="str">
        <f t="shared" ref="H2:H12" si="0">IF(B2&gt;1,ROUND(INDEX(tblMedicationContIV,B2,18)*J2/10,3),"")</f>
        <v/>
      </c>
    </row>
    <row r="3" spans="1:22" x14ac:dyDescent="0.35">
      <c r="A3">
        <v>1</v>
      </c>
      <c r="B3" s="827">
        <v>1</v>
      </c>
      <c r="C3" s="827">
        <v>2</v>
      </c>
      <c r="D3" s="827"/>
      <c r="E3" s="827"/>
      <c r="F3" s="827" t="str">
        <f t="shared" ref="F3:F12" si="1">IF(B3&gt;1,IF(D3&gt;0,D3,INDEX(tblMedicationContIV,B3,11)),"")</f>
        <v/>
      </c>
      <c r="G3" s="827" t="str">
        <f t="shared" ref="G3:G12" si="2">IF(B3&gt;1,IF(E3&gt;0,E3,INDEX(tblMedicationContIV,B3,12)),"")</f>
        <v/>
      </c>
      <c r="H3" s="827" t="str">
        <f t="shared" si="0"/>
        <v/>
      </c>
      <c r="I3">
        <v>1</v>
      </c>
      <c r="K3">
        <f>IF(PedGuiMedIV!C9&lt;&gt;0,24*J3/10,0)</f>
        <v>0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17" si="3">IF(OR($B3=24),0.5*$K3,IF(B3=4,K3*145/1000,0))</f>
        <v>0</v>
      </c>
      <c r="P3">
        <f>IF(OR($B3=19),0,0)</f>
        <v>0</v>
      </c>
      <c r="Q3">
        <f t="shared" ref="Q3:Q17" si="4">IF(OR($B3=4),0.2*$K3,0)</f>
        <v>0</v>
      </c>
      <c r="R3">
        <f t="shared" ref="R3:R17" si="5">IF(OR(B3=20,B3=21),0.1*K3,0)</f>
        <v>0</v>
      </c>
    </row>
    <row r="4" spans="1:22" x14ac:dyDescent="0.35">
      <c r="A4">
        <v>2</v>
      </c>
      <c r="B4" s="827">
        <v>1</v>
      </c>
      <c r="C4" s="827">
        <v>3</v>
      </c>
      <c r="D4" s="827"/>
      <c r="E4" s="827"/>
      <c r="F4" s="827" t="str">
        <f t="shared" si="1"/>
        <v/>
      </c>
      <c r="G4" s="827" t="str">
        <f t="shared" si="2"/>
        <v/>
      </c>
      <c r="H4" s="827" t="str">
        <f t="shared" si="0"/>
        <v/>
      </c>
      <c r="I4">
        <v>1</v>
      </c>
      <c r="K4">
        <f>IF(PedGuiMedIV!C10&lt;&gt;0,24*J4/10,0)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17" si="6">IF(OR($B4=19),0,0)</f>
        <v>0</v>
      </c>
      <c r="Q4">
        <f t="shared" si="4"/>
        <v>0</v>
      </c>
      <c r="R4">
        <f t="shared" si="5"/>
        <v>0</v>
      </c>
      <c r="T4" t="s">
        <v>1129</v>
      </c>
    </row>
    <row r="5" spans="1:22" x14ac:dyDescent="0.35">
      <c r="A5">
        <v>3</v>
      </c>
      <c r="B5" s="827">
        <v>1</v>
      </c>
      <c r="C5" s="827">
        <v>4</v>
      </c>
      <c r="D5" s="827"/>
      <c r="E5" s="827"/>
      <c r="F5" s="827" t="str">
        <f t="shared" si="1"/>
        <v/>
      </c>
      <c r="G5" s="827" t="str">
        <f t="shared" si="2"/>
        <v/>
      </c>
      <c r="H5" s="827" t="str">
        <f t="shared" si="0"/>
        <v/>
      </c>
      <c r="I5">
        <v>1</v>
      </c>
      <c r="K5">
        <f>IF(PedGuiMedIV!C11&lt;&gt;0,24*J5/10,0)</f>
        <v>0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6"/>
        <v>0</v>
      </c>
      <c r="Q5">
        <f t="shared" si="4"/>
        <v>0</v>
      </c>
      <c r="R5">
        <f t="shared" si="5"/>
        <v>0</v>
      </c>
      <c r="T5" t="s">
        <v>304</v>
      </c>
    </row>
    <row r="6" spans="1:22" x14ac:dyDescent="0.35">
      <c r="A6" s="577">
        <v>4</v>
      </c>
      <c r="B6" s="827">
        <v>1</v>
      </c>
      <c r="C6" s="827">
        <v>5</v>
      </c>
      <c r="D6" s="827"/>
      <c r="E6" s="827"/>
      <c r="F6" s="827" t="str">
        <f t="shared" si="1"/>
        <v/>
      </c>
      <c r="G6" s="827" t="str">
        <f t="shared" si="2"/>
        <v/>
      </c>
      <c r="H6" s="827" t="str">
        <f t="shared" si="0"/>
        <v/>
      </c>
      <c r="I6">
        <v>1</v>
      </c>
      <c r="K6">
        <f>IF(PedGuiMedIV!C12&lt;&gt;0,24*J6/10,0)</f>
        <v>0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</v>
      </c>
      <c r="O6">
        <f t="shared" si="3"/>
        <v>0</v>
      </c>
      <c r="P6">
        <f t="shared" si="6"/>
        <v>0</v>
      </c>
      <c r="Q6">
        <f t="shared" si="4"/>
        <v>0</v>
      </c>
      <c r="R6">
        <f t="shared" si="5"/>
        <v>0</v>
      </c>
      <c r="T6" t="s">
        <v>305</v>
      </c>
    </row>
    <row r="7" spans="1:22" x14ac:dyDescent="0.35">
      <c r="A7">
        <v>5</v>
      </c>
      <c r="B7" s="827">
        <v>1</v>
      </c>
      <c r="C7" s="827">
        <v>6</v>
      </c>
      <c r="D7" s="827"/>
      <c r="E7" s="827"/>
      <c r="F7" s="827" t="str">
        <f t="shared" si="1"/>
        <v/>
      </c>
      <c r="G7" s="827" t="str">
        <f t="shared" si="2"/>
        <v/>
      </c>
      <c r="H7" s="827" t="str">
        <f t="shared" si="0"/>
        <v/>
      </c>
      <c r="I7">
        <v>1</v>
      </c>
      <c r="K7">
        <f>IF(PedGuiMedIV!C13&lt;&gt;0,24*J7/10,0)</f>
        <v>0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6"/>
        <v>0</v>
      </c>
      <c r="Q7">
        <f t="shared" si="4"/>
        <v>0</v>
      </c>
      <c r="R7">
        <f t="shared" si="5"/>
        <v>0</v>
      </c>
    </row>
    <row r="8" spans="1:22" x14ac:dyDescent="0.35">
      <c r="A8">
        <v>6</v>
      </c>
      <c r="B8" s="827">
        <v>1</v>
      </c>
      <c r="C8" s="827">
        <v>7</v>
      </c>
      <c r="D8" s="827"/>
      <c r="E8" s="827"/>
      <c r="F8" s="827" t="str">
        <f t="shared" si="1"/>
        <v/>
      </c>
      <c r="G8" s="827" t="str">
        <f t="shared" si="2"/>
        <v/>
      </c>
      <c r="H8" s="827" t="str">
        <f t="shared" si="0"/>
        <v/>
      </c>
      <c r="I8">
        <v>1</v>
      </c>
      <c r="K8">
        <f>IF(PedGuiMedIV!C14&lt;&gt;0,24*J8/10,0)</f>
        <v>0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6"/>
        <v>0</v>
      </c>
      <c r="Q8">
        <f t="shared" si="4"/>
        <v>0</v>
      </c>
      <c r="R8">
        <f t="shared" si="5"/>
        <v>0</v>
      </c>
    </row>
    <row r="9" spans="1:22" x14ac:dyDescent="0.35">
      <c r="A9">
        <v>7</v>
      </c>
      <c r="B9" s="827">
        <v>1</v>
      </c>
      <c r="C9" s="827">
        <v>8</v>
      </c>
      <c r="D9" s="827"/>
      <c r="E9" s="827"/>
      <c r="F9" s="827" t="str">
        <f t="shared" si="1"/>
        <v/>
      </c>
      <c r="G9" s="827" t="str">
        <f t="shared" si="2"/>
        <v/>
      </c>
      <c r="H9" s="827" t="str">
        <f t="shared" si="0"/>
        <v/>
      </c>
      <c r="I9">
        <v>1</v>
      </c>
      <c r="K9">
        <f>IF(PedGuiMedIV!C15&lt;&gt;0,24*J9/10,0)</f>
        <v>0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6"/>
        <v>0</v>
      </c>
      <c r="Q9">
        <f t="shared" si="4"/>
        <v>0</v>
      </c>
      <c r="R9">
        <f t="shared" si="5"/>
        <v>0</v>
      </c>
    </row>
    <row r="10" spans="1:22" x14ac:dyDescent="0.35">
      <c r="A10">
        <v>8</v>
      </c>
      <c r="B10" s="827">
        <v>1</v>
      </c>
      <c r="C10" s="827">
        <v>9</v>
      </c>
      <c r="D10" s="827"/>
      <c r="E10" s="827"/>
      <c r="F10" s="827" t="str">
        <f t="shared" si="1"/>
        <v/>
      </c>
      <c r="G10" s="827" t="str">
        <f t="shared" si="2"/>
        <v/>
      </c>
      <c r="H10" s="827" t="str">
        <f t="shared" si="0"/>
        <v/>
      </c>
      <c r="I10">
        <v>1</v>
      </c>
      <c r="K10">
        <f>IF(PedGuiMedIV!C16&lt;&gt;0,24*J10/10,0)</f>
        <v>0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6"/>
        <v>0</v>
      </c>
      <c r="Q10">
        <f t="shared" si="4"/>
        <v>0</v>
      </c>
      <c r="R10">
        <f t="shared" si="5"/>
        <v>0</v>
      </c>
    </row>
    <row r="11" spans="1:22" x14ac:dyDescent="0.35">
      <c r="A11">
        <v>9</v>
      </c>
      <c r="B11" s="827">
        <v>1</v>
      </c>
      <c r="C11" s="827">
        <v>10</v>
      </c>
      <c r="D11" s="827"/>
      <c r="E11" s="827"/>
      <c r="F11" s="827" t="str">
        <f t="shared" si="1"/>
        <v/>
      </c>
      <c r="G11" s="827" t="str">
        <f t="shared" si="2"/>
        <v/>
      </c>
      <c r="H11" s="827" t="str">
        <f t="shared" si="0"/>
        <v/>
      </c>
      <c r="I11">
        <v>1</v>
      </c>
      <c r="K11">
        <f>IF(PedGuiMedIV!C17&lt;&gt;0,24*J11/10,0)</f>
        <v>0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6"/>
        <v>0</v>
      </c>
      <c r="Q11">
        <f t="shared" si="4"/>
        <v>0</v>
      </c>
      <c r="R11">
        <f t="shared" si="5"/>
        <v>0</v>
      </c>
    </row>
    <row r="12" spans="1:22" x14ac:dyDescent="0.35">
      <c r="A12">
        <v>10</v>
      </c>
      <c r="B12" s="827">
        <v>1</v>
      </c>
      <c r="C12" s="827">
        <v>11</v>
      </c>
      <c r="D12" s="827"/>
      <c r="E12" s="827"/>
      <c r="F12" s="827" t="str">
        <f t="shared" si="1"/>
        <v/>
      </c>
      <c r="G12" s="827" t="str">
        <f t="shared" si="2"/>
        <v/>
      </c>
      <c r="H12" s="827" t="str">
        <f t="shared" si="0"/>
        <v/>
      </c>
      <c r="I12">
        <v>1</v>
      </c>
      <c r="K12">
        <f>IF(PedGuiMedIV!C18&lt;&gt;0,24*J12/10,0)</f>
        <v>0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6"/>
        <v>0</v>
      </c>
      <c r="Q12">
        <f t="shared" si="4"/>
        <v>0</v>
      </c>
      <c r="R12">
        <f t="shared" si="5"/>
        <v>0</v>
      </c>
    </row>
    <row r="13" spans="1:22" x14ac:dyDescent="0.35">
      <c r="A13">
        <v>11</v>
      </c>
      <c r="D13" s="518"/>
      <c r="H13" s="827" t="str">
        <f>IFERROR(ROUND((J13/10)*U13/_Ped_MedIV_OplVol_11/(_Pat_Gewicht/10),3)&amp;" "&amp;V13&amp;"/kg/uur "&amp;"("&amp;ROUND((J13/10/60)*U13/_Ped_MedIV_OplVol_11/(_Pat_Gewicht/10),3)&amp;" "&amp;V13&amp;"/kg/min)","")</f>
        <v/>
      </c>
      <c r="I13">
        <v>1</v>
      </c>
      <c r="K13">
        <f>IF(PedGuiMedIV!C20&lt;&gt;"",J13/10*24,0)</f>
        <v>0</v>
      </c>
      <c r="L13">
        <f>IF(PedBerMedIV!$I13=3,PedBerMedIV!K13*0.05,0)</f>
        <v>0</v>
      </c>
      <c r="M13">
        <f>IF(PedBerMedIV!$I13=4,PedBerMedIV!K13*0.1,0)</f>
        <v>0</v>
      </c>
      <c r="N13">
        <f>IF(PedBerMedIV!$I13=2,PedBerMedIV!K13*0.155,0)</f>
        <v>0</v>
      </c>
      <c r="O13">
        <f t="shared" si="3"/>
        <v>0</v>
      </c>
      <c r="P13">
        <f t="shared" si="6"/>
        <v>0</v>
      </c>
      <c r="Q13">
        <f t="shared" si="4"/>
        <v>0</v>
      </c>
      <c r="R13">
        <f t="shared" si="5"/>
        <v>0</v>
      </c>
      <c r="U13" s="517" t="e">
        <f>LEFT(D13,FIND(" ",D13))</f>
        <v>#VALUE!</v>
      </c>
      <c r="V13" s="517" t="e">
        <f>MID(D13, FIND(" ",D13), LEN(D13) - FIND(" ",D13) + 1)</f>
        <v>#VALUE!</v>
      </c>
    </row>
    <row r="14" spans="1:22" x14ac:dyDescent="0.35">
      <c r="A14">
        <v>12</v>
      </c>
      <c r="H14" s="827" t="str">
        <f>IFERROR(ROUND((J14/10)*U14/_Ped_MedIV_OplVol_11/(_Pat_Gewicht/10),3)&amp;" "&amp;V14&amp;"/kg/uur "&amp;"("&amp;ROUND((J14/10/60)*U14/_Ped_MedIV_OplVol_11/(_Pat_Gewicht/10),3)&amp;" "&amp;V14&amp;"/kg/min)","")</f>
        <v/>
      </c>
      <c r="I14">
        <v>1</v>
      </c>
      <c r="K14">
        <f>IF(PedGuiMedIV!C21&lt;&gt;"",J14/10*24,0)</f>
        <v>0</v>
      </c>
      <c r="L14">
        <f>IF(PedBerMedIV!$I14=3,PedBerMedIV!K14*0.05,0)</f>
        <v>0</v>
      </c>
      <c r="M14">
        <f>IF(PedBerMedIV!$I14=4,PedBerMedIV!K14*0.1,0)</f>
        <v>0</v>
      </c>
      <c r="N14">
        <f>IF(PedBerMedIV!$I14=2,PedBerMedIV!K14*0.155,0)</f>
        <v>0</v>
      </c>
      <c r="O14">
        <f t="shared" si="3"/>
        <v>0</v>
      </c>
      <c r="P14">
        <f t="shared" si="6"/>
        <v>0</v>
      </c>
      <c r="Q14">
        <f t="shared" si="4"/>
        <v>0</v>
      </c>
      <c r="R14">
        <f t="shared" si="5"/>
        <v>0</v>
      </c>
      <c r="U14" s="517" t="e">
        <f t="shared" ref="U14:U18" si="7">LEFT(D14,FIND(" ",D14))</f>
        <v>#VALUE!</v>
      </c>
      <c r="V14" s="517" t="e">
        <f t="shared" ref="V14:V18" si="8">MID(D14, FIND(" ",D14), LEN(D14) - FIND(" ",D14) + 1)</f>
        <v>#VALUE!</v>
      </c>
    </row>
    <row r="15" spans="1:22" x14ac:dyDescent="0.35">
      <c r="A15">
        <v>13</v>
      </c>
      <c r="H15" s="827" t="str">
        <f>IFERROR(ROUND((J15/10)*U15/_Ped_MedIV_OplVol_11/(_Pat_Gewicht/10),3)&amp;" "&amp;V15&amp;"/kg/uur "&amp;"("&amp;ROUND((J15/10/60)*U15/_Ped_MedIV_OplVol_11/(_Pat_Gewicht/10),3)&amp;" "&amp;V15&amp;"/kg/min)","")</f>
        <v/>
      </c>
      <c r="I15">
        <v>1</v>
      </c>
      <c r="K15">
        <f>IF(PedGuiMedIV!C22&lt;&gt;"",J15/10*24,0)</f>
        <v>0</v>
      </c>
      <c r="L15">
        <f>IF(PedBerMedIV!$I15=3,PedBerMedIV!K15*0.05,0)</f>
        <v>0</v>
      </c>
      <c r="M15">
        <f>IF(PedBerMedIV!$I15=4,PedBerMedIV!K15*0.1,0)</f>
        <v>0</v>
      </c>
      <c r="N15">
        <f>IF(PedBerMedIV!$I15=2,PedBerMedIV!K15*0.155,0)</f>
        <v>0</v>
      </c>
      <c r="O15">
        <f t="shared" si="3"/>
        <v>0</v>
      </c>
      <c r="P15">
        <f t="shared" si="6"/>
        <v>0</v>
      </c>
      <c r="Q15">
        <f t="shared" si="4"/>
        <v>0</v>
      </c>
      <c r="R15">
        <f t="shared" si="5"/>
        <v>0</v>
      </c>
      <c r="U15" s="517" t="e">
        <f t="shared" si="7"/>
        <v>#VALUE!</v>
      </c>
      <c r="V15" s="517" t="e">
        <f t="shared" si="8"/>
        <v>#VALUE!</v>
      </c>
    </row>
    <row r="16" spans="1:22" x14ac:dyDescent="0.35">
      <c r="A16">
        <v>14</v>
      </c>
      <c r="H16" s="827" t="str">
        <f>IFERROR(ROUND((J16/10)*U16/_Ped_MedIV_OplVol_11/(_Pat_Gewicht/10),3)&amp;" "&amp;V16&amp;"/kg/uur "&amp;"("&amp;ROUND((J16/10/60)*U16/_Ped_MedIV_OplVol_11/(_Pat_Gewicht/10),3)&amp;" "&amp;V16&amp;"/kg/min)","")</f>
        <v/>
      </c>
      <c r="I16">
        <v>1</v>
      </c>
      <c r="K16">
        <f>IF(PedGuiMedIV!C23&lt;&gt;"",J16/10*24,0)</f>
        <v>0</v>
      </c>
      <c r="L16">
        <f>IF(PedBerMedIV!$I16=3,PedBerMedIV!K16*0.05,0)</f>
        <v>0</v>
      </c>
      <c r="M16">
        <f>IF(PedBerMedIV!$I16=4,PedBerMedIV!K16*0.1,0)</f>
        <v>0</v>
      </c>
      <c r="N16">
        <f>IF(PedBerMedIV!$I16=2,PedBerMedIV!K16*0.155,0)</f>
        <v>0</v>
      </c>
      <c r="O16">
        <f t="shared" si="3"/>
        <v>0</v>
      </c>
      <c r="P16">
        <f t="shared" si="6"/>
        <v>0</v>
      </c>
      <c r="Q16">
        <f t="shared" si="4"/>
        <v>0</v>
      </c>
      <c r="R16">
        <f t="shared" si="5"/>
        <v>0</v>
      </c>
      <c r="U16" s="517" t="e">
        <f t="shared" si="7"/>
        <v>#VALUE!</v>
      </c>
      <c r="V16" s="517" t="e">
        <f t="shared" si="8"/>
        <v>#VALUE!</v>
      </c>
    </row>
    <row r="17" spans="1:22" x14ac:dyDescent="0.35">
      <c r="A17">
        <v>15</v>
      </c>
      <c r="H17" s="827" t="str">
        <f>IFERROR(ROUND((J17/10)*U17/_Ped_MedIV_OplVol_11/(_Pat_Gewicht/10),3)&amp;" "&amp;V17&amp;"/kg/uur "&amp;"("&amp;ROUND((J17/10/60)*U17/_Ped_MedIV_OplVol_11/(_Pat_Gewicht/10),3)&amp;" "&amp;V17&amp;"/kg/min)","")</f>
        <v/>
      </c>
      <c r="I17">
        <v>1</v>
      </c>
      <c r="K17">
        <f>IF(PedGuiMedIV!C24&lt;&gt;"",J17/10*24,0)</f>
        <v>0</v>
      </c>
      <c r="L17">
        <f>IF(PedBerMedIV!$I17=3,PedBerMedIV!K17*0.05,0)</f>
        <v>0</v>
      </c>
      <c r="M17">
        <f>IF(PedBerMedIV!$I17=4,PedBerMedIV!K17*0.1,0)</f>
        <v>0</v>
      </c>
      <c r="N17">
        <f>IF(PedBerMedIV!$I17=2,PedBerMedIV!K17*0.155,0)</f>
        <v>0</v>
      </c>
      <c r="O17">
        <f t="shared" si="3"/>
        <v>0</v>
      </c>
      <c r="P17">
        <f t="shared" si="6"/>
        <v>0</v>
      </c>
      <c r="Q17">
        <f t="shared" si="4"/>
        <v>0</v>
      </c>
      <c r="R17">
        <f t="shared" si="5"/>
        <v>0</v>
      </c>
      <c r="U17" s="517" t="e">
        <f t="shared" si="7"/>
        <v>#VALUE!</v>
      </c>
      <c r="V17" s="517" t="e">
        <f t="shared" si="8"/>
        <v>#VALUE!</v>
      </c>
    </row>
    <row r="18" spans="1:22" x14ac:dyDescent="0.35">
      <c r="K18">
        <f>SUM(K3:K17)</f>
        <v>0</v>
      </c>
      <c r="L18">
        <f>SUM(L3:L17)</f>
        <v>0</v>
      </c>
      <c r="M18">
        <f>SUM(M3:M17)</f>
        <v>0</v>
      </c>
      <c r="O18">
        <f>SUM(O3:O17)+SUM(N3:N17)</f>
        <v>0</v>
      </c>
      <c r="P18">
        <f>SUM(P3:P17)</f>
        <v>0</v>
      </c>
      <c r="Q18">
        <f>SUM(Q3:Q17)</f>
        <v>0</v>
      </c>
      <c r="R18">
        <f>SUM(R3:R17)</f>
        <v>0</v>
      </c>
      <c r="U18" s="517" t="e">
        <f t="shared" si="7"/>
        <v>#VALUE!</v>
      </c>
      <c r="V18" s="517" t="e">
        <f t="shared" si="8"/>
        <v>#VALUE!</v>
      </c>
    </row>
    <row r="26" spans="1:22" x14ac:dyDescent="0.35">
      <c r="B26" s="518"/>
    </row>
    <row r="27" spans="1:22" x14ac:dyDescent="0.35">
      <c r="D27" s="518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W35"/>
  <sheetViews>
    <sheetView workbookViewId="0">
      <pane xSplit="2" ySplit="2" topLeftCell="J3" activePane="bottomRight" state="frozen"/>
      <selection activeCell="A6" sqref="A6"/>
      <selection pane="topRight" activeCell="A6" sqref="A6"/>
      <selection pane="bottomLeft" activeCell="A6" sqref="A6"/>
      <selection pane="bottomRight" activeCell="S28" sqref="S28"/>
    </sheetView>
  </sheetViews>
  <sheetFormatPr defaultColWidth="9.1328125" defaultRowHeight="12.85" x14ac:dyDescent="0.35"/>
  <cols>
    <col min="1" max="1" width="5" style="518" customWidth="1"/>
    <col min="2" max="2" width="23.1328125" style="518" customWidth="1"/>
    <col min="3" max="3" width="13.3984375" style="518" customWidth="1"/>
    <col min="4" max="4" width="23.59765625" style="518" customWidth="1"/>
    <col min="5" max="5" width="7.265625" style="518" customWidth="1"/>
    <col min="6" max="11" width="7.73046875" style="518" customWidth="1"/>
    <col min="12" max="19" width="8.73046875" style="518" customWidth="1"/>
    <col min="20" max="20" width="14.1328125" style="518" bestFit="1" customWidth="1"/>
    <col min="21" max="21" width="14.73046875" style="518" bestFit="1" customWidth="1"/>
    <col min="22" max="22" width="17.265625" style="518" bestFit="1" customWidth="1"/>
    <col min="23" max="23" width="9.86328125" style="518" bestFit="1" customWidth="1"/>
    <col min="24" max="16384" width="9.1328125" style="518"/>
  </cols>
  <sheetData>
    <row r="1" spans="1:23" x14ac:dyDescent="0.35">
      <c r="A1" s="583"/>
      <c r="F1" s="518" t="s">
        <v>490</v>
      </c>
      <c r="H1" s="518" t="s">
        <v>491</v>
      </c>
      <c r="J1" s="263" t="s">
        <v>492</v>
      </c>
      <c r="L1" s="518" t="s">
        <v>508</v>
      </c>
      <c r="N1" s="518" t="s">
        <v>509</v>
      </c>
      <c r="P1" s="518" t="s">
        <v>510</v>
      </c>
    </row>
    <row r="2" spans="1:23" x14ac:dyDescent="0.35">
      <c r="B2" s="518" t="s">
        <v>493</v>
      </c>
      <c r="C2" s="518" t="s">
        <v>494</v>
      </c>
      <c r="D2" s="518" t="s">
        <v>495</v>
      </c>
      <c r="E2" s="518" t="s">
        <v>496</v>
      </c>
      <c r="F2" s="518" t="s">
        <v>497</v>
      </c>
      <c r="G2" s="518" t="s">
        <v>498</v>
      </c>
      <c r="H2" s="518" t="s">
        <v>497</v>
      </c>
      <c r="I2" s="518" t="s">
        <v>498</v>
      </c>
      <c r="J2" s="518" t="s">
        <v>497</v>
      </c>
      <c r="K2" s="518" t="s">
        <v>498</v>
      </c>
      <c r="L2" s="518" t="s">
        <v>497</v>
      </c>
      <c r="M2" s="518" t="s">
        <v>498</v>
      </c>
      <c r="N2" s="518" t="s">
        <v>497</v>
      </c>
      <c r="O2" s="518" t="s">
        <v>498</v>
      </c>
      <c r="P2" s="518" t="s">
        <v>497</v>
      </c>
      <c r="Q2" s="518" t="s">
        <v>498</v>
      </c>
      <c r="R2" s="518" t="s">
        <v>506</v>
      </c>
      <c r="S2" s="518" t="s">
        <v>507</v>
      </c>
      <c r="T2" s="518" t="s">
        <v>548</v>
      </c>
      <c r="U2" s="518" t="s">
        <v>549</v>
      </c>
      <c r="V2" s="518" t="s">
        <v>1139</v>
      </c>
      <c r="W2" s="518" t="s">
        <v>1150</v>
      </c>
    </row>
    <row r="3" spans="1:23" x14ac:dyDescent="0.35">
      <c r="A3" s="518">
        <v>1</v>
      </c>
      <c r="W3" s="518">
        <v>1</v>
      </c>
    </row>
    <row r="4" spans="1:23" x14ac:dyDescent="0.35">
      <c r="A4" s="518">
        <v>2</v>
      </c>
      <c r="B4" s="518" t="s">
        <v>233</v>
      </c>
      <c r="C4" s="263" t="s">
        <v>447</v>
      </c>
      <c r="D4" s="263" t="str">
        <f>CONCATENATE(T4,"-",U4," ",C4)</f>
        <v>0,05-0,5 mcg/kg/min</v>
      </c>
      <c r="E4" s="263" t="s">
        <v>176</v>
      </c>
      <c r="F4" s="518">
        <v>1</v>
      </c>
      <c r="G4" s="518">
        <v>50</v>
      </c>
      <c r="H4" s="518">
        <v>2</v>
      </c>
      <c r="I4" s="518">
        <v>50</v>
      </c>
      <c r="J4" s="706">
        <v>5</v>
      </c>
      <c r="K4" s="706">
        <v>50</v>
      </c>
      <c r="L4" s="518">
        <f t="shared" ref="L4:L34" si="0">IF(_Pat_Gewicht/10&lt;6,F4,IF(_Pat_Gewicht/10&lt;11,H4,J4))</f>
        <v>2</v>
      </c>
      <c r="M4" s="518">
        <f t="shared" ref="M4:M34" si="1">IF(_Pat_Gewicht/10&lt;6,G4,IF(_Pat_Gewicht/10&lt;11,I4,K4))</f>
        <v>50</v>
      </c>
      <c r="N4" s="518">
        <f t="shared" ref="N4" si="2">INDEX(tblBerMedContIV,IFERROR(VLOOKUP(A4,tblBerMedContIV,2,FALSE),1),3)</f>
        <v>0</v>
      </c>
      <c r="O4" s="518">
        <f t="shared" ref="O4" si="3">INDEX(tblBerMedContIV,IFERROR(VLOOKUP(A4,tblBerMedContIV,2,FALSE),1),4)</f>
        <v>0</v>
      </c>
      <c r="P4" s="518">
        <f>IF(N4&gt;0,N4,L4)</f>
        <v>2</v>
      </c>
      <c r="Q4" s="518">
        <f>IF(O4&gt;0,O4,M4)</f>
        <v>50</v>
      </c>
      <c r="R4" s="518">
        <v>10</v>
      </c>
      <c r="S4" s="518">
        <f>IF(Q4&gt;0,ROUND(1000*R4/10*(P4/Q4)/(_Pat_Gewicht/10)/60,3),0)</f>
        <v>6.7000000000000004E-2</v>
      </c>
      <c r="T4" s="263">
        <v>0.05</v>
      </c>
      <c r="U4" s="263">
        <v>0.5</v>
      </c>
      <c r="V4" s="518">
        <v>1</v>
      </c>
      <c r="W4" s="518">
        <v>1</v>
      </c>
    </row>
    <row r="5" spans="1:23" x14ac:dyDescent="0.35">
      <c r="A5" s="518">
        <v>3</v>
      </c>
      <c r="B5" s="263" t="s">
        <v>131</v>
      </c>
      <c r="C5" s="263" t="s">
        <v>389</v>
      </c>
      <c r="D5" s="263" t="str">
        <f t="shared" ref="D5:D10" si="4">CONCATENATE(T5,"-",U5," ",C5)</f>
        <v>1-2 gram/kg/dag</v>
      </c>
      <c r="E5" s="263" t="s">
        <v>73</v>
      </c>
      <c r="F5" s="518">
        <v>0.2</v>
      </c>
      <c r="G5" s="518">
        <v>1</v>
      </c>
      <c r="H5" s="518">
        <v>0.2</v>
      </c>
      <c r="I5" s="518">
        <v>1</v>
      </c>
      <c r="J5" s="706">
        <v>0.2</v>
      </c>
      <c r="K5" s="706">
        <v>1</v>
      </c>
      <c r="L5" s="518">
        <f t="shared" si="0"/>
        <v>0.2</v>
      </c>
      <c r="M5" s="518">
        <f t="shared" si="1"/>
        <v>1</v>
      </c>
      <c r="N5" s="518">
        <f t="shared" ref="N5:N34" si="5">INDEX(tblBerMedContIV,IFERROR(VLOOKUP(A5,tblBerMedContIV,2,FALSE),1),3)</f>
        <v>0</v>
      </c>
      <c r="O5" s="518">
        <f>INDEX(tblBerMedContIV,IFERROR(VLOOKUP(A5,tblBerMedContIV,2,FALSE),1),4)</f>
        <v>0</v>
      </c>
      <c r="P5" s="518">
        <f t="shared" ref="P5:P34" si="6">IF(N5&gt;0,N5,L5)</f>
        <v>0.2</v>
      </c>
      <c r="Q5" s="518">
        <f t="shared" ref="Q5:Q34" si="7">IF(O5&gt;0,O5,M5)</f>
        <v>1</v>
      </c>
      <c r="R5" s="518">
        <v>10</v>
      </c>
      <c r="S5" s="518">
        <f>IF(Q5&gt;0,ROUND(24*(R5/10)*(P5/Q5)/(_Pat_Gewicht/10),3),0)</f>
        <v>0.48</v>
      </c>
      <c r="T5" s="518">
        <v>1</v>
      </c>
      <c r="U5" s="518">
        <v>2</v>
      </c>
      <c r="V5" s="518">
        <v>4</v>
      </c>
      <c r="W5" s="518">
        <v>1</v>
      </c>
    </row>
    <row r="6" spans="1:23" x14ac:dyDescent="0.35">
      <c r="A6" s="583">
        <v>4</v>
      </c>
      <c r="B6" s="263" t="s">
        <v>164</v>
      </c>
      <c r="C6" s="263" t="s">
        <v>448</v>
      </c>
      <c r="D6" s="263" t="str">
        <f t="shared" si="4"/>
        <v>10-50 nanog/kg/min</v>
      </c>
      <c r="E6" s="518" t="s">
        <v>176</v>
      </c>
      <c r="F6" s="518">
        <v>0.2</v>
      </c>
      <c r="G6" s="518">
        <v>50</v>
      </c>
      <c r="L6" s="518">
        <f t="shared" si="0"/>
        <v>0</v>
      </c>
      <c r="M6" s="518">
        <f t="shared" si="1"/>
        <v>0</v>
      </c>
      <c r="N6" s="518">
        <f t="shared" si="5"/>
        <v>0</v>
      </c>
      <c r="O6" s="518">
        <f t="shared" ref="O6:O34" si="8">INDEX(tblBerMedContIV,IFERROR(VLOOKUP(A6,tblBerMedContIV,2,FALSE),1),4)</f>
        <v>0</v>
      </c>
      <c r="P6" s="518">
        <f t="shared" si="6"/>
        <v>0</v>
      </c>
      <c r="Q6" s="518">
        <f t="shared" si="7"/>
        <v>0</v>
      </c>
      <c r="R6" s="518">
        <v>10</v>
      </c>
      <c r="S6" s="518">
        <f>IF(Q6&gt;0,ROUND(1000*1000*R6/10*(P6/Q6)/(_Pat_Gewicht/10)/60,3),0)</f>
        <v>0</v>
      </c>
      <c r="T6" s="518">
        <v>10</v>
      </c>
      <c r="U6" s="518">
        <v>50</v>
      </c>
      <c r="V6" s="518">
        <v>100</v>
      </c>
      <c r="W6" s="518">
        <v>1</v>
      </c>
    </row>
    <row r="7" spans="1:23" x14ac:dyDescent="0.35">
      <c r="A7" s="518">
        <v>5</v>
      </c>
      <c r="B7" s="518" t="s">
        <v>457</v>
      </c>
      <c r="C7" s="263" t="s">
        <v>447</v>
      </c>
      <c r="D7" s="263" t="str">
        <f t="shared" si="4"/>
        <v>5-15 mcg/kg/min</v>
      </c>
      <c r="E7" s="263" t="s">
        <v>176</v>
      </c>
      <c r="F7" s="518">
        <v>50</v>
      </c>
      <c r="G7" s="518">
        <v>50</v>
      </c>
      <c r="H7" s="518">
        <v>150</v>
      </c>
      <c r="I7" s="518">
        <v>50</v>
      </c>
      <c r="J7" s="706">
        <v>300</v>
      </c>
      <c r="K7" s="706">
        <v>50</v>
      </c>
      <c r="L7" s="518">
        <f t="shared" si="0"/>
        <v>150</v>
      </c>
      <c r="M7" s="518">
        <f t="shared" si="1"/>
        <v>50</v>
      </c>
      <c r="N7" s="518">
        <f t="shared" si="5"/>
        <v>0</v>
      </c>
      <c r="O7" s="518">
        <f t="shared" si="8"/>
        <v>0</v>
      </c>
      <c r="P7" s="518">
        <f t="shared" si="6"/>
        <v>150</v>
      </c>
      <c r="Q7" s="518">
        <f t="shared" si="7"/>
        <v>50</v>
      </c>
      <c r="R7" s="518">
        <v>10</v>
      </c>
      <c r="S7" s="518">
        <f>IF(Q7&gt;0,ROUND(1000*R7/10*(P7/Q7)/(_Pat_Gewicht/10)/60,3),0)</f>
        <v>5</v>
      </c>
      <c r="T7" s="518">
        <v>5</v>
      </c>
      <c r="U7" s="518">
        <v>15</v>
      </c>
      <c r="V7" s="518">
        <v>25</v>
      </c>
      <c r="W7" s="518">
        <v>1</v>
      </c>
    </row>
    <row r="8" spans="1:23" x14ac:dyDescent="0.35">
      <c r="A8" s="518">
        <v>6</v>
      </c>
      <c r="B8" s="518" t="s">
        <v>41</v>
      </c>
      <c r="C8" s="263" t="s">
        <v>206</v>
      </c>
      <c r="D8" s="263" t="str">
        <f t="shared" si="4"/>
        <v>0,25-2 mcg/kg/uur</v>
      </c>
      <c r="E8" s="263" t="s">
        <v>176</v>
      </c>
      <c r="F8" s="518">
        <v>0.15</v>
      </c>
      <c r="G8" s="263">
        <v>50</v>
      </c>
      <c r="H8" s="518">
        <v>0.3</v>
      </c>
      <c r="I8" s="518">
        <v>50</v>
      </c>
      <c r="J8" s="706">
        <v>0.6</v>
      </c>
      <c r="K8" s="706">
        <v>50</v>
      </c>
      <c r="L8" s="518">
        <f t="shared" si="0"/>
        <v>0.3</v>
      </c>
      <c r="M8" s="518">
        <f t="shared" si="1"/>
        <v>50</v>
      </c>
      <c r="N8" s="518">
        <f t="shared" si="5"/>
        <v>0</v>
      </c>
      <c r="O8" s="518">
        <f t="shared" si="8"/>
        <v>0</v>
      </c>
      <c r="P8" s="518">
        <f t="shared" si="6"/>
        <v>0.3</v>
      </c>
      <c r="Q8" s="518">
        <f t="shared" si="7"/>
        <v>50</v>
      </c>
      <c r="R8" s="518">
        <v>10</v>
      </c>
      <c r="S8" s="518">
        <f>IF(Q8&gt;0,ROUND(1000*R8/10*(P8/Q8)/(_Pat_Gewicht/10),3),0)</f>
        <v>0.6</v>
      </c>
      <c r="T8" s="518">
        <v>0.25</v>
      </c>
      <c r="U8" s="518">
        <v>2</v>
      </c>
      <c r="V8" s="518">
        <v>3</v>
      </c>
      <c r="W8" s="518">
        <v>2</v>
      </c>
    </row>
    <row r="9" spans="1:23" x14ac:dyDescent="0.35">
      <c r="A9" s="518">
        <v>7</v>
      </c>
      <c r="B9" s="263" t="s">
        <v>354</v>
      </c>
      <c r="C9" s="263" t="s">
        <v>447</v>
      </c>
      <c r="D9" s="263" t="str">
        <f t="shared" si="4"/>
        <v>1-20 mcg/kg/min</v>
      </c>
      <c r="E9" s="263" t="s">
        <v>176</v>
      </c>
      <c r="F9" s="518">
        <v>80</v>
      </c>
      <c r="G9" s="518">
        <v>50</v>
      </c>
      <c r="H9" s="518">
        <v>200</v>
      </c>
      <c r="I9" s="518">
        <v>50</v>
      </c>
      <c r="J9" s="706">
        <v>400</v>
      </c>
      <c r="K9" s="706">
        <v>50</v>
      </c>
      <c r="L9" s="518">
        <f t="shared" si="0"/>
        <v>200</v>
      </c>
      <c r="M9" s="518">
        <f t="shared" si="1"/>
        <v>50</v>
      </c>
      <c r="N9" s="518">
        <f t="shared" si="5"/>
        <v>0</v>
      </c>
      <c r="O9" s="518">
        <f t="shared" si="8"/>
        <v>0</v>
      </c>
      <c r="P9" s="518">
        <f t="shared" si="6"/>
        <v>200</v>
      </c>
      <c r="Q9" s="518">
        <f t="shared" si="7"/>
        <v>50</v>
      </c>
      <c r="R9" s="518">
        <v>10</v>
      </c>
      <c r="S9" s="518">
        <f>IF(Q9&gt;0,ROUND(1000*R9/10*(P9/Q9)/(_Pat_Gewicht/10)/60,3),0)</f>
        <v>6.6669999999999998</v>
      </c>
      <c r="T9" s="518">
        <v>1</v>
      </c>
      <c r="U9" s="518">
        <v>20</v>
      </c>
      <c r="V9" s="518">
        <v>30</v>
      </c>
      <c r="W9" s="518">
        <v>1</v>
      </c>
    </row>
    <row r="10" spans="1:23" x14ac:dyDescent="0.35">
      <c r="A10" s="518">
        <v>8</v>
      </c>
      <c r="B10" s="518" t="s">
        <v>325</v>
      </c>
      <c r="C10" s="263" t="s">
        <v>447</v>
      </c>
      <c r="D10" s="263" t="str">
        <f t="shared" si="4"/>
        <v>1-20 mcg/kg/min</v>
      </c>
      <c r="E10" s="263" t="s">
        <v>176</v>
      </c>
      <c r="F10" s="518">
        <v>80</v>
      </c>
      <c r="G10" s="518">
        <v>50</v>
      </c>
      <c r="H10" s="518">
        <v>200</v>
      </c>
      <c r="I10" s="518">
        <v>50</v>
      </c>
      <c r="J10" s="706">
        <v>400</v>
      </c>
      <c r="K10" s="706">
        <v>50</v>
      </c>
      <c r="L10" s="518">
        <f t="shared" si="0"/>
        <v>200</v>
      </c>
      <c r="M10" s="518">
        <f t="shared" si="1"/>
        <v>50</v>
      </c>
      <c r="N10" s="518">
        <f t="shared" si="5"/>
        <v>0</v>
      </c>
      <c r="O10" s="518">
        <f t="shared" si="8"/>
        <v>0</v>
      </c>
      <c r="P10" s="518">
        <f t="shared" si="6"/>
        <v>200</v>
      </c>
      <c r="Q10" s="518">
        <f t="shared" si="7"/>
        <v>50</v>
      </c>
      <c r="R10" s="518">
        <v>10</v>
      </c>
      <c r="S10" s="518">
        <f>IF(Q10&gt;0,ROUND(1000*R10/10*(P10/Q10)/(_Pat_Gewicht/10)/60,3),0)</f>
        <v>6.6669999999999998</v>
      </c>
      <c r="T10" s="518">
        <v>1</v>
      </c>
      <c r="U10" s="518">
        <v>20</v>
      </c>
      <c r="V10" s="518">
        <v>30</v>
      </c>
      <c r="W10" s="518">
        <v>1</v>
      </c>
    </row>
    <row r="11" spans="1:23" x14ac:dyDescent="0.35">
      <c r="A11" s="518">
        <v>9</v>
      </c>
      <c r="B11" s="518" t="s">
        <v>524</v>
      </c>
      <c r="C11" s="263" t="s">
        <v>471</v>
      </c>
      <c r="D11" s="263" t="s">
        <v>525</v>
      </c>
      <c r="E11" s="263" t="s">
        <v>177</v>
      </c>
      <c r="F11" s="518">
        <f>IF(_Pat_Gewicht/10&gt;48,48,_Pat_Gewicht/10)</f>
        <v>10</v>
      </c>
      <c r="G11" s="518">
        <v>24</v>
      </c>
      <c r="H11" s="518">
        <f>IF(_Pat_Gewicht/10&gt;48,48,_Pat_Gewicht/10)</f>
        <v>10</v>
      </c>
      <c r="I11" s="518">
        <v>48</v>
      </c>
      <c r="J11" s="518">
        <f>IF(_Pat_Gewicht/10&gt;48,48,_Pat_Gewicht/10)</f>
        <v>10</v>
      </c>
      <c r="K11" s="706">
        <v>48</v>
      </c>
      <c r="L11" s="518">
        <f t="shared" si="0"/>
        <v>10</v>
      </c>
      <c r="M11" s="518">
        <f t="shared" si="1"/>
        <v>48</v>
      </c>
      <c r="N11" s="518">
        <f>INDEX(tblBerMedContIV,IFERROR(VLOOKUP(A11,tblBerMedContIV,2,FALSE),1),3)</f>
        <v>0</v>
      </c>
      <c r="O11" s="518">
        <f>INDEX(tblBerMedContIV,IFERROR(VLOOKUP(A11,tblBerMedContIV,2,FALSE),1),4)</f>
        <v>0</v>
      </c>
      <c r="P11" s="518">
        <f>IF(N11&gt;0,N11,L11)</f>
        <v>10</v>
      </c>
      <c r="Q11" s="518">
        <f>IF(O11&gt;0,O11,M11)</f>
        <v>48</v>
      </c>
      <c r="R11" s="518">
        <v>10</v>
      </c>
      <c r="S11" s="518">
        <f>R11/10</f>
        <v>1</v>
      </c>
      <c r="T11" s="518">
        <v>1</v>
      </c>
      <c r="U11" s="518">
        <v>8</v>
      </c>
      <c r="V11" s="518">
        <v>8</v>
      </c>
      <c r="W11" s="518">
        <v>1</v>
      </c>
    </row>
    <row r="12" spans="1:23" x14ac:dyDescent="0.35">
      <c r="A12" s="518">
        <v>10</v>
      </c>
      <c r="B12" s="263" t="s">
        <v>523</v>
      </c>
      <c r="C12" s="263" t="s">
        <v>471</v>
      </c>
      <c r="D12" s="263" t="s">
        <v>525</v>
      </c>
      <c r="E12" s="263" t="s">
        <v>177</v>
      </c>
      <c r="F12" s="518">
        <f>IF(_Pat_Gewicht/10&gt;48,48,_Pat_Gewicht/10)</f>
        <v>10</v>
      </c>
      <c r="G12" s="518">
        <v>24</v>
      </c>
      <c r="H12" s="518">
        <f>IF(_Pat_Gewicht/10&gt;48,48,_Pat_Gewicht/10)</f>
        <v>10</v>
      </c>
      <c r="I12" s="518">
        <v>48</v>
      </c>
      <c r="J12" s="518">
        <f>IF(_Pat_Gewicht/10&gt;48,48,_Pat_Gewicht/10)</f>
        <v>10</v>
      </c>
      <c r="K12" s="706">
        <v>48</v>
      </c>
      <c r="L12" s="518">
        <f t="shared" si="0"/>
        <v>10</v>
      </c>
      <c r="M12" s="518">
        <f t="shared" si="1"/>
        <v>48</v>
      </c>
      <c r="N12" s="518">
        <f t="shared" si="5"/>
        <v>0</v>
      </c>
      <c r="O12" s="518">
        <f t="shared" si="8"/>
        <v>0</v>
      </c>
      <c r="P12" s="518">
        <f t="shared" si="6"/>
        <v>10</v>
      </c>
      <c r="Q12" s="518">
        <f t="shared" si="7"/>
        <v>48</v>
      </c>
      <c r="R12" s="518">
        <v>10</v>
      </c>
      <c r="S12" s="518">
        <f>R12/10</f>
        <v>1</v>
      </c>
      <c r="T12" s="518">
        <v>1</v>
      </c>
      <c r="U12" s="518">
        <v>8</v>
      </c>
      <c r="V12" s="518">
        <v>8</v>
      </c>
      <c r="W12" s="518">
        <v>1</v>
      </c>
    </row>
    <row r="13" spans="1:23" x14ac:dyDescent="0.35">
      <c r="A13" s="518">
        <v>11</v>
      </c>
      <c r="B13" s="263" t="s">
        <v>99</v>
      </c>
      <c r="C13" s="263" t="s">
        <v>448</v>
      </c>
      <c r="D13" s="263" t="str">
        <f>CONCATENATE(T13,"-",U13," ",C13)</f>
        <v>0,5-50 nanog/kg/min</v>
      </c>
      <c r="E13" s="263" t="s">
        <v>176</v>
      </c>
      <c r="F13" s="518">
        <v>0.2</v>
      </c>
      <c r="G13" s="518">
        <v>50</v>
      </c>
      <c r="H13" s="518">
        <v>0.4</v>
      </c>
      <c r="I13" s="518">
        <v>50</v>
      </c>
      <c r="J13" s="706">
        <v>0.8</v>
      </c>
      <c r="K13" s="706">
        <v>50</v>
      </c>
      <c r="L13" s="518">
        <f t="shared" si="0"/>
        <v>0.4</v>
      </c>
      <c r="M13" s="518">
        <f t="shared" si="1"/>
        <v>50</v>
      </c>
      <c r="N13" s="518">
        <f t="shared" si="5"/>
        <v>0</v>
      </c>
      <c r="O13" s="518">
        <f t="shared" si="8"/>
        <v>0</v>
      </c>
      <c r="P13" s="518">
        <f t="shared" si="6"/>
        <v>0.4</v>
      </c>
      <c r="Q13" s="518">
        <f t="shared" si="7"/>
        <v>50</v>
      </c>
      <c r="R13" s="518">
        <v>10</v>
      </c>
      <c r="S13" s="518">
        <f>IF(Q13&gt;0,ROUND(1000*1000*R13/10*(P13/Q13)/(_Pat_Gewicht/10)/60,3),0)</f>
        <v>13.333</v>
      </c>
      <c r="T13" s="518">
        <v>0.5</v>
      </c>
      <c r="U13" s="518">
        <v>50</v>
      </c>
      <c r="V13" s="518">
        <v>50</v>
      </c>
      <c r="W13" s="518">
        <v>2</v>
      </c>
    </row>
    <row r="14" spans="1:23" x14ac:dyDescent="0.35">
      <c r="A14" s="518">
        <v>12</v>
      </c>
      <c r="B14" s="518" t="s">
        <v>155</v>
      </c>
      <c r="C14" s="263" t="s">
        <v>387</v>
      </c>
      <c r="D14" s="263" t="str">
        <f t="shared" ref="D14:D33" si="9">CONCATENATE(T14,"-",U14," ",C14)</f>
        <v>0,5-1 mg/kg/uur</v>
      </c>
      <c r="E14" s="263" t="s">
        <v>176</v>
      </c>
      <c r="F14" s="518">
        <v>100</v>
      </c>
      <c r="G14" s="263">
        <v>50</v>
      </c>
      <c r="H14" s="518">
        <v>250</v>
      </c>
      <c r="I14" s="518">
        <v>50</v>
      </c>
      <c r="J14" s="706">
        <v>250</v>
      </c>
      <c r="K14" s="706">
        <v>50</v>
      </c>
      <c r="L14" s="518">
        <f t="shared" si="0"/>
        <v>250</v>
      </c>
      <c r="M14" s="518">
        <f t="shared" si="1"/>
        <v>50</v>
      </c>
      <c r="N14" s="518">
        <f t="shared" si="5"/>
        <v>0</v>
      </c>
      <c r="O14" s="518">
        <f t="shared" si="8"/>
        <v>0</v>
      </c>
      <c r="P14" s="518">
        <f t="shared" si="6"/>
        <v>250</v>
      </c>
      <c r="Q14" s="518">
        <f t="shared" si="7"/>
        <v>50</v>
      </c>
      <c r="R14" s="518">
        <v>10</v>
      </c>
      <c r="S14" s="518">
        <f>IF(Q14&gt;0,ROUND(R14/10*(P14/Q14)/(_Pat_Gewicht/10),3),0)</f>
        <v>0.5</v>
      </c>
      <c r="T14" s="518">
        <v>0.5</v>
      </c>
      <c r="U14" s="518">
        <v>1</v>
      </c>
      <c r="V14" s="518">
        <v>2</v>
      </c>
      <c r="W14" s="518">
        <v>1</v>
      </c>
    </row>
    <row r="15" spans="1:23" x14ac:dyDescent="0.35">
      <c r="A15" s="518">
        <v>13</v>
      </c>
      <c r="B15" s="518" t="s">
        <v>499</v>
      </c>
      <c r="C15" s="263" t="s">
        <v>512</v>
      </c>
      <c r="D15" s="263" t="str">
        <f t="shared" si="9"/>
        <v>0,1-1 mg/kg/min</v>
      </c>
      <c r="E15" s="263" t="s">
        <v>176</v>
      </c>
      <c r="F15" s="518">
        <v>500</v>
      </c>
      <c r="G15" s="518">
        <v>50</v>
      </c>
      <c r="H15" s="518">
        <v>500</v>
      </c>
      <c r="I15" s="518">
        <v>50</v>
      </c>
      <c r="J15" s="706">
        <v>500</v>
      </c>
      <c r="K15" s="706">
        <v>50</v>
      </c>
      <c r="L15" s="518">
        <f t="shared" si="0"/>
        <v>500</v>
      </c>
      <c r="M15" s="518">
        <f t="shared" si="1"/>
        <v>50</v>
      </c>
      <c r="N15" s="518">
        <f t="shared" si="5"/>
        <v>0</v>
      </c>
      <c r="O15" s="518">
        <f t="shared" si="8"/>
        <v>0</v>
      </c>
      <c r="P15" s="518">
        <f t="shared" si="6"/>
        <v>500</v>
      </c>
      <c r="Q15" s="518">
        <f t="shared" si="7"/>
        <v>50</v>
      </c>
      <c r="R15" s="518">
        <v>10</v>
      </c>
      <c r="S15" s="518">
        <f>IF(Q15&gt;0,ROUND(R15/10*(P15/Q15)/(_Pat_Gewicht/10)/60,3),0)</f>
        <v>1.7000000000000001E-2</v>
      </c>
      <c r="T15" s="518">
        <v>0.1</v>
      </c>
      <c r="U15" s="518">
        <v>1</v>
      </c>
      <c r="V15" s="518">
        <v>2</v>
      </c>
      <c r="W15" s="518">
        <v>1</v>
      </c>
    </row>
    <row r="16" spans="1:23" x14ac:dyDescent="0.35">
      <c r="A16" s="518">
        <v>14</v>
      </c>
      <c r="B16" s="518" t="s">
        <v>522</v>
      </c>
      <c r="C16" s="263" t="s">
        <v>206</v>
      </c>
      <c r="D16" s="263" t="str">
        <f t="shared" si="9"/>
        <v>1-5 mcg/kg/uur</v>
      </c>
      <c r="E16" s="263" t="s">
        <v>176</v>
      </c>
      <c r="F16" s="518">
        <v>0.5</v>
      </c>
      <c r="G16" s="518">
        <v>50</v>
      </c>
      <c r="H16" s="518">
        <v>1</v>
      </c>
      <c r="I16" s="518">
        <v>50</v>
      </c>
      <c r="J16" s="706">
        <v>5</v>
      </c>
      <c r="K16" s="706">
        <v>50</v>
      </c>
      <c r="L16" s="518">
        <f t="shared" si="0"/>
        <v>1</v>
      </c>
      <c r="M16" s="518">
        <f t="shared" si="1"/>
        <v>50</v>
      </c>
      <c r="N16" s="518">
        <f>INDEX(tblBerMedContIV,IFERROR(VLOOKUP(A16,tblBerMedContIV,2,FALSE),1),3)</f>
        <v>0</v>
      </c>
      <c r="O16" s="518">
        <f>INDEX(tblBerMedContIV,IFERROR(VLOOKUP(A16,tblBerMedContIV,2,FALSE),1),4)</f>
        <v>0</v>
      </c>
      <c r="P16" s="518">
        <f>IF(N16&gt;0,N16,L16)</f>
        <v>1</v>
      </c>
      <c r="Q16" s="518">
        <f>IF(O16&gt;0,O16,M16)</f>
        <v>50</v>
      </c>
      <c r="R16" s="518">
        <v>10</v>
      </c>
      <c r="S16" s="518">
        <f>IF(Q16&gt;0,ROUND(1000*R16/10*(P16/Q16)/(_Pat_Gewicht/10),3),0)</f>
        <v>2</v>
      </c>
      <c r="T16" s="518">
        <v>1</v>
      </c>
      <c r="U16" s="518">
        <v>5</v>
      </c>
      <c r="V16" s="518">
        <v>10</v>
      </c>
      <c r="W16" s="518">
        <v>1</v>
      </c>
    </row>
    <row r="17" spans="1:23" x14ac:dyDescent="0.35">
      <c r="A17" s="518">
        <v>15</v>
      </c>
      <c r="B17" s="518" t="s">
        <v>500</v>
      </c>
      <c r="C17" s="263" t="s">
        <v>447</v>
      </c>
      <c r="D17" s="263" t="str">
        <f t="shared" si="9"/>
        <v>0,05-5 mcg/kg/min</v>
      </c>
      <c r="E17" s="263" t="s">
        <v>176</v>
      </c>
      <c r="F17" s="518">
        <v>0.2</v>
      </c>
      <c r="G17" s="518">
        <v>20</v>
      </c>
      <c r="H17" s="518">
        <v>0.4</v>
      </c>
      <c r="I17" s="518">
        <v>20</v>
      </c>
      <c r="J17" s="706">
        <v>0.8</v>
      </c>
      <c r="K17" s="706">
        <v>20</v>
      </c>
      <c r="L17" s="518">
        <f t="shared" si="0"/>
        <v>0.4</v>
      </c>
      <c r="M17" s="518">
        <f t="shared" si="1"/>
        <v>20</v>
      </c>
      <c r="N17" s="518">
        <f t="shared" si="5"/>
        <v>0</v>
      </c>
      <c r="O17" s="518">
        <f t="shared" si="8"/>
        <v>0</v>
      </c>
      <c r="P17" s="518">
        <f t="shared" si="6"/>
        <v>0.4</v>
      </c>
      <c r="Q17" s="518">
        <f t="shared" si="7"/>
        <v>20</v>
      </c>
      <c r="R17" s="518">
        <v>10</v>
      </c>
      <c r="S17" s="518">
        <f>IF(Q17&gt;0,ROUND(1000*R17/10*(P17/Q17)/(_Pat_Gewicht/10)/60,3),0)</f>
        <v>3.3000000000000002E-2</v>
      </c>
      <c r="T17" s="518">
        <v>0.05</v>
      </c>
      <c r="U17" s="518">
        <v>5</v>
      </c>
      <c r="V17" s="518">
        <v>10</v>
      </c>
      <c r="W17" s="518">
        <v>1</v>
      </c>
    </row>
    <row r="18" spans="1:23" x14ac:dyDescent="0.35">
      <c r="A18" s="518">
        <v>16</v>
      </c>
      <c r="B18" s="518" t="s">
        <v>185</v>
      </c>
      <c r="C18" s="263" t="s">
        <v>388</v>
      </c>
      <c r="D18" s="263" t="str">
        <f t="shared" si="9"/>
        <v>1-4 mg/kg/dag</v>
      </c>
      <c r="E18" s="263" t="s">
        <v>176</v>
      </c>
      <c r="F18" s="518">
        <v>10</v>
      </c>
      <c r="G18" s="518">
        <v>50</v>
      </c>
      <c r="H18" s="518">
        <v>20</v>
      </c>
      <c r="I18" s="518">
        <v>50</v>
      </c>
      <c r="J18" s="706">
        <v>40</v>
      </c>
      <c r="K18" s="706">
        <v>50</v>
      </c>
      <c r="L18" s="518">
        <f t="shared" si="0"/>
        <v>20</v>
      </c>
      <c r="M18" s="518">
        <f t="shared" si="1"/>
        <v>50</v>
      </c>
      <c r="N18" s="518">
        <f t="shared" si="5"/>
        <v>0</v>
      </c>
      <c r="O18" s="518">
        <f t="shared" si="8"/>
        <v>0</v>
      </c>
      <c r="P18" s="518">
        <f t="shared" si="6"/>
        <v>20</v>
      </c>
      <c r="Q18" s="518">
        <f t="shared" si="7"/>
        <v>50</v>
      </c>
      <c r="R18" s="518">
        <v>10</v>
      </c>
      <c r="S18" s="518">
        <f>IF(Q18&gt;0,ROUND(24*R18/10*(P18/Q18)/(_Pat_Gewicht/10),3),0)</f>
        <v>0.96</v>
      </c>
      <c r="T18" s="518">
        <v>1</v>
      </c>
      <c r="U18" s="518">
        <v>4</v>
      </c>
      <c r="V18" s="518">
        <v>6</v>
      </c>
      <c r="W18" s="518">
        <v>1</v>
      </c>
    </row>
    <row r="19" spans="1:23" x14ac:dyDescent="0.35">
      <c r="A19" s="518">
        <v>17</v>
      </c>
      <c r="B19" s="518" t="s">
        <v>203</v>
      </c>
      <c r="C19" s="263" t="s">
        <v>204</v>
      </c>
      <c r="D19" s="263" t="str">
        <f t="shared" si="9"/>
        <v>10-20 IE/kg/uur</v>
      </c>
      <c r="E19" s="263" t="s">
        <v>501</v>
      </c>
      <c r="F19" s="518">
        <v>5000</v>
      </c>
      <c r="G19" s="518">
        <v>50</v>
      </c>
      <c r="H19" s="518">
        <v>10000</v>
      </c>
      <c r="I19" s="518">
        <v>50</v>
      </c>
      <c r="J19" s="706">
        <v>20000</v>
      </c>
      <c r="K19" s="706">
        <v>50</v>
      </c>
      <c r="L19" s="518">
        <f t="shared" si="0"/>
        <v>10000</v>
      </c>
      <c r="M19" s="518">
        <f t="shared" si="1"/>
        <v>50</v>
      </c>
      <c r="N19" s="518">
        <f t="shared" si="5"/>
        <v>0</v>
      </c>
      <c r="O19" s="518">
        <f t="shared" si="8"/>
        <v>0</v>
      </c>
      <c r="P19" s="518">
        <f t="shared" si="6"/>
        <v>10000</v>
      </c>
      <c r="Q19" s="518">
        <f t="shared" si="7"/>
        <v>50</v>
      </c>
      <c r="R19" s="518">
        <v>10</v>
      </c>
      <c r="S19" s="518">
        <f>IF(Q19&gt;0,ROUND(R19/10*(P19/Q19)/(_Pat_Gewicht/10),3),0)</f>
        <v>20</v>
      </c>
      <c r="T19" s="518">
        <v>10</v>
      </c>
      <c r="U19" s="518">
        <v>20</v>
      </c>
      <c r="V19" s="518">
        <v>50</v>
      </c>
      <c r="W19" s="518">
        <v>1</v>
      </c>
    </row>
    <row r="20" spans="1:23" x14ac:dyDescent="0.35">
      <c r="A20" s="518">
        <v>18</v>
      </c>
      <c r="B20" s="518" t="s">
        <v>502</v>
      </c>
      <c r="C20" s="263" t="s">
        <v>71</v>
      </c>
      <c r="D20" s="263" t="str">
        <f t="shared" si="9"/>
        <v>0,02-0,125 E/kg/uur</v>
      </c>
      <c r="E20" s="263" t="s">
        <v>501</v>
      </c>
      <c r="F20" s="518">
        <v>10</v>
      </c>
      <c r="G20" s="518">
        <v>50</v>
      </c>
      <c r="H20" s="518">
        <v>10</v>
      </c>
      <c r="I20" s="518">
        <v>50</v>
      </c>
      <c r="J20" s="706">
        <v>50</v>
      </c>
      <c r="K20" s="706">
        <v>50</v>
      </c>
      <c r="L20" s="518">
        <f t="shared" si="0"/>
        <v>10</v>
      </c>
      <c r="M20" s="518">
        <f t="shared" si="1"/>
        <v>50</v>
      </c>
      <c r="N20" s="518">
        <f t="shared" si="5"/>
        <v>0</v>
      </c>
      <c r="O20" s="518">
        <f t="shared" si="8"/>
        <v>0</v>
      </c>
      <c r="P20" s="518">
        <f t="shared" si="6"/>
        <v>10</v>
      </c>
      <c r="Q20" s="518">
        <f t="shared" si="7"/>
        <v>50</v>
      </c>
      <c r="R20" s="518">
        <v>10</v>
      </c>
      <c r="S20" s="518">
        <f>IF(Q20&gt;0,ROUND(R20/10*(P20/Q20)/(_Pat_Gewicht/10),3),0)</f>
        <v>0.02</v>
      </c>
      <c r="T20" s="518">
        <v>0.02</v>
      </c>
      <c r="U20" s="518">
        <v>0.125</v>
      </c>
      <c r="V20" s="518">
        <v>2</v>
      </c>
      <c r="W20" s="518">
        <v>1</v>
      </c>
    </row>
    <row r="21" spans="1:23" x14ac:dyDescent="0.35">
      <c r="A21" s="518">
        <v>19</v>
      </c>
      <c r="B21" s="518" t="s">
        <v>418</v>
      </c>
      <c r="C21" s="263" t="s">
        <v>447</v>
      </c>
      <c r="D21" s="263" t="str">
        <f t="shared" si="9"/>
        <v>0,01-1,5 mcg/kg/min</v>
      </c>
      <c r="E21" s="263" t="s">
        <v>176</v>
      </c>
      <c r="F21" s="518">
        <v>2</v>
      </c>
      <c r="G21" s="518">
        <v>50</v>
      </c>
      <c r="H21" s="518">
        <v>2</v>
      </c>
      <c r="I21" s="518">
        <v>50</v>
      </c>
      <c r="J21" s="706">
        <v>2</v>
      </c>
      <c r="K21" s="706">
        <v>50</v>
      </c>
      <c r="L21" s="518">
        <f t="shared" si="0"/>
        <v>2</v>
      </c>
      <c r="M21" s="518">
        <f t="shared" si="1"/>
        <v>50</v>
      </c>
      <c r="N21" s="518">
        <f t="shared" si="5"/>
        <v>0</v>
      </c>
      <c r="O21" s="518">
        <f t="shared" si="8"/>
        <v>0</v>
      </c>
      <c r="P21" s="518">
        <f t="shared" si="6"/>
        <v>2</v>
      </c>
      <c r="Q21" s="518">
        <f t="shared" si="7"/>
        <v>50</v>
      </c>
      <c r="R21" s="518">
        <v>10</v>
      </c>
      <c r="S21" s="518">
        <f>IF(Q21&gt;0,ROUND(1000*R21/10*(P21/Q21)/(_Pat_Gewicht/10)/60,3),0)</f>
        <v>6.7000000000000004E-2</v>
      </c>
      <c r="T21" s="518">
        <v>0.01</v>
      </c>
      <c r="U21" s="518">
        <v>1.5</v>
      </c>
      <c r="V21" s="518">
        <v>3</v>
      </c>
      <c r="W21" s="518">
        <v>1</v>
      </c>
    </row>
    <row r="22" spans="1:23" x14ac:dyDescent="0.35">
      <c r="A22" s="518">
        <v>20</v>
      </c>
      <c r="B22" s="518" t="s">
        <v>503</v>
      </c>
      <c r="C22" s="263" t="s">
        <v>387</v>
      </c>
      <c r="D22" s="263" t="str">
        <f t="shared" si="9"/>
        <v>0,25-3 mg/kg/uur</v>
      </c>
      <c r="E22" s="263" t="s">
        <v>176</v>
      </c>
      <c r="F22" s="518">
        <v>250</v>
      </c>
      <c r="G22" s="518">
        <v>50</v>
      </c>
      <c r="H22" s="518">
        <v>250</v>
      </c>
      <c r="I22" s="518">
        <v>50</v>
      </c>
      <c r="J22" s="706">
        <v>250</v>
      </c>
      <c r="K22" s="706">
        <v>50</v>
      </c>
      <c r="L22" s="518">
        <f t="shared" si="0"/>
        <v>250</v>
      </c>
      <c r="M22" s="518">
        <f t="shared" si="1"/>
        <v>50</v>
      </c>
      <c r="N22" s="518">
        <f t="shared" si="5"/>
        <v>0</v>
      </c>
      <c r="O22" s="518">
        <f t="shared" si="8"/>
        <v>0</v>
      </c>
      <c r="P22" s="518">
        <f t="shared" si="6"/>
        <v>250</v>
      </c>
      <c r="Q22" s="518">
        <f t="shared" si="7"/>
        <v>50</v>
      </c>
      <c r="R22" s="518">
        <v>10</v>
      </c>
      <c r="S22" s="518">
        <f>IF(Q22&gt;0,ROUND(R22/10*(P22/Q22)/(_Pat_Gewicht/10),3),0)</f>
        <v>0.5</v>
      </c>
      <c r="T22" s="518">
        <v>0.25</v>
      </c>
      <c r="U22" s="518">
        <v>3</v>
      </c>
      <c r="V22" s="518">
        <v>4</v>
      </c>
      <c r="W22" s="518">
        <v>1</v>
      </c>
    </row>
    <row r="23" spans="1:23" x14ac:dyDescent="0.35">
      <c r="A23" s="518">
        <v>21</v>
      </c>
      <c r="B23" s="518" t="s">
        <v>504</v>
      </c>
      <c r="C23" s="263" t="s">
        <v>387</v>
      </c>
      <c r="D23" s="263" t="s">
        <v>520</v>
      </c>
      <c r="E23" s="263" t="s">
        <v>176</v>
      </c>
      <c r="F23" s="518">
        <v>500</v>
      </c>
      <c r="G23" s="518">
        <v>50</v>
      </c>
      <c r="H23" s="518">
        <v>1000</v>
      </c>
      <c r="I23" s="518">
        <v>50</v>
      </c>
      <c r="J23" s="706">
        <v>2000</v>
      </c>
      <c r="K23" s="706">
        <v>50</v>
      </c>
      <c r="L23" s="518">
        <f t="shared" si="0"/>
        <v>1000</v>
      </c>
      <c r="M23" s="518">
        <f t="shared" si="1"/>
        <v>50</v>
      </c>
      <c r="N23" s="518">
        <f t="shared" si="5"/>
        <v>0</v>
      </c>
      <c r="O23" s="518">
        <f t="shared" si="8"/>
        <v>0</v>
      </c>
      <c r="P23" s="518">
        <f t="shared" si="6"/>
        <v>1000</v>
      </c>
      <c r="Q23" s="518">
        <f t="shared" si="7"/>
        <v>50</v>
      </c>
      <c r="R23" s="518">
        <v>10</v>
      </c>
      <c r="S23" s="518">
        <f>IF(Q23&gt;0,ROUND(R23/10*(P23/Q23)/(_Pat_Gewicht/10),3),0)</f>
        <v>2</v>
      </c>
      <c r="T23" s="518">
        <v>3</v>
      </c>
      <c r="U23" s="518">
        <v>20</v>
      </c>
      <c r="V23" s="518">
        <v>25</v>
      </c>
      <c r="W23" s="518">
        <v>1</v>
      </c>
    </row>
    <row r="24" spans="1:23" x14ac:dyDescent="0.35">
      <c r="A24" s="518">
        <v>22</v>
      </c>
      <c r="B24" s="518" t="s">
        <v>382</v>
      </c>
      <c r="C24" s="263" t="s">
        <v>387</v>
      </c>
      <c r="D24" s="263" t="str">
        <f t="shared" si="9"/>
        <v>0,05-0,5 mg/kg/uur</v>
      </c>
      <c r="E24" s="263" t="s">
        <v>176</v>
      </c>
      <c r="F24" s="518">
        <v>25</v>
      </c>
      <c r="G24" s="263">
        <v>50</v>
      </c>
      <c r="H24" s="518">
        <v>50</v>
      </c>
      <c r="I24" s="518">
        <v>50</v>
      </c>
      <c r="J24" s="706">
        <v>50</v>
      </c>
      <c r="K24" s="706">
        <v>50</v>
      </c>
      <c r="L24" s="518">
        <f t="shared" si="0"/>
        <v>50</v>
      </c>
      <c r="M24" s="518">
        <f t="shared" si="1"/>
        <v>50</v>
      </c>
      <c r="N24" s="518">
        <f t="shared" si="5"/>
        <v>0</v>
      </c>
      <c r="O24" s="518">
        <f t="shared" si="8"/>
        <v>0</v>
      </c>
      <c r="P24" s="518">
        <f t="shared" si="6"/>
        <v>50</v>
      </c>
      <c r="Q24" s="518">
        <f t="shared" si="7"/>
        <v>50</v>
      </c>
      <c r="R24" s="518">
        <v>10</v>
      </c>
      <c r="S24" s="518">
        <f>IF(Q24&gt;0,ROUND(R24/10*(P24/Q24)/(_Pat_Gewicht/10),3),0)</f>
        <v>0.1</v>
      </c>
      <c r="T24" s="518">
        <v>0.05</v>
      </c>
      <c r="U24" s="518">
        <v>0.5</v>
      </c>
      <c r="V24" s="518">
        <v>1</v>
      </c>
      <c r="W24" s="518">
        <v>1</v>
      </c>
    </row>
    <row r="25" spans="1:23" x14ac:dyDescent="0.35">
      <c r="A25" s="518">
        <v>23</v>
      </c>
      <c r="B25" s="518" t="s">
        <v>505</v>
      </c>
      <c r="C25" s="263" t="s">
        <v>447</v>
      </c>
      <c r="D25" s="263" t="str">
        <f t="shared" si="9"/>
        <v>0,15-0,5 mcg/kg/min</v>
      </c>
      <c r="E25" s="263" t="s">
        <v>176</v>
      </c>
      <c r="F25" s="518">
        <v>5</v>
      </c>
      <c r="G25" s="518">
        <v>50</v>
      </c>
      <c r="H25" s="518">
        <v>10</v>
      </c>
      <c r="I25" s="518">
        <v>50</v>
      </c>
      <c r="J25" s="706">
        <v>20</v>
      </c>
      <c r="K25" s="706">
        <v>50</v>
      </c>
      <c r="L25" s="518">
        <f t="shared" si="0"/>
        <v>10</v>
      </c>
      <c r="M25" s="518">
        <f t="shared" si="1"/>
        <v>50</v>
      </c>
      <c r="N25" s="518">
        <f t="shared" si="5"/>
        <v>0</v>
      </c>
      <c r="O25" s="518">
        <f t="shared" si="8"/>
        <v>0</v>
      </c>
      <c r="P25" s="518">
        <f t="shared" si="6"/>
        <v>10</v>
      </c>
      <c r="Q25" s="518">
        <f t="shared" si="7"/>
        <v>50</v>
      </c>
      <c r="R25" s="518">
        <v>10</v>
      </c>
      <c r="S25" s="518">
        <f>IF(Q25&gt;0,ROUND(1000*R25/10*(P25/Q25)/(_Pat_Gewicht/10)/60,3),0)</f>
        <v>0.33300000000000002</v>
      </c>
      <c r="T25" s="518">
        <v>0.15</v>
      </c>
      <c r="U25" s="518">
        <v>0.5</v>
      </c>
      <c r="V25" s="518">
        <v>0.75</v>
      </c>
      <c r="W25" s="518">
        <v>1</v>
      </c>
    </row>
    <row r="26" spans="1:23" x14ac:dyDescent="0.35">
      <c r="A26" s="518">
        <v>24</v>
      </c>
      <c r="B26" s="518" t="s">
        <v>130</v>
      </c>
      <c r="C26" s="263" t="s">
        <v>388</v>
      </c>
      <c r="D26" s="263" t="str">
        <f t="shared" si="9"/>
        <v>0,1-0,5 mg/kg/dag</v>
      </c>
      <c r="E26" s="263" t="s">
        <v>176</v>
      </c>
      <c r="F26" s="518">
        <v>2</v>
      </c>
      <c r="G26" s="263">
        <v>50</v>
      </c>
      <c r="H26" s="518">
        <v>5</v>
      </c>
      <c r="I26" s="518">
        <v>50</v>
      </c>
      <c r="J26" s="706">
        <v>10</v>
      </c>
      <c r="K26" s="706">
        <v>50</v>
      </c>
      <c r="L26" s="518">
        <f t="shared" si="0"/>
        <v>5</v>
      </c>
      <c r="M26" s="518">
        <f t="shared" si="1"/>
        <v>50</v>
      </c>
      <c r="N26" s="518">
        <f t="shared" si="5"/>
        <v>0</v>
      </c>
      <c r="O26" s="518">
        <f t="shared" si="8"/>
        <v>0</v>
      </c>
      <c r="P26" s="518">
        <f>IF(N26&gt;0,N26,L26)</f>
        <v>5</v>
      </c>
      <c r="Q26" s="518">
        <f t="shared" si="7"/>
        <v>50</v>
      </c>
      <c r="R26" s="518">
        <v>10</v>
      </c>
      <c r="S26" s="518">
        <f>IF(Q26&gt;0,ROUND(24*(R26/10)*(P26/Q26)/(_Pat_Gewicht/10),3),0)</f>
        <v>0.24</v>
      </c>
      <c r="T26" s="518">
        <v>0.1</v>
      </c>
      <c r="U26" s="518">
        <v>0.5</v>
      </c>
      <c r="V26" s="518">
        <v>1</v>
      </c>
      <c r="W26" s="518">
        <v>1</v>
      </c>
    </row>
    <row r="27" spans="1:23" x14ac:dyDescent="0.35">
      <c r="A27" s="518">
        <v>25</v>
      </c>
      <c r="B27" s="263" t="s">
        <v>359</v>
      </c>
      <c r="C27" s="263" t="s">
        <v>416</v>
      </c>
      <c r="D27" s="263" t="str">
        <f t="shared" si="9"/>
        <v>2-4 mmol/kg/dag</v>
      </c>
      <c r="E27" s="263" t="s">
        <v>521</v>
      </c>
      <c r="F27" s="518">
        <v>25</v>
      </c>
      <c r="G27" s="263">
        <v>50</v>
      </c>
      <c r="H27" s="518">
        <v>25</v>
      </c>
      <c r="I27" s="518">
        <v>50</v>
      </c>
      <c r="J27" s="706">
        <v>25</v>
      </c>
      <c r="K27" s="706">
        <v>50</v>
      </c>
      <c r="L27" s="518">
        <f t="shared" si="0"/>
        <v>25</v>
      </c>
      <c r="M27" s="518">
        <f t="shared" si="1"/>
        <v>50</v>
      </c>
      <c r="N27" s="518">
        <f t="shared" si="5"/>
        <v>0</v>
      </c>
      <c r="O27" s="518">
        <f t="shared" si="8"/>
        <v>0</v>
      </c>
      <c r="P27" s="518">
        <f t="shared" si="6"/>
        <v>25</v>
      </c>
      <c r="Q27" s="518">
        <f t="shared" si="7"/>
        <v>50</v>
      </c>
      <c r="R27" s="518">
        <v>10</v>
      </c>
      <c r="S27" s="518">
        <f>IF(Q27&gt;0,ROUND(24*(R27/10)*(P27/Q27)/(_Pat_Gewicht/10),3),0)</f>
        <v>1.2</v>
      </c>
      <c r="T27" s="518">
        <v>2</v>
      </c>
      <c r="U27" s="518">
        <v>4</v>
      </c>
      <c r="V27" s="518">
        <v>6</v>
      </c>
      <c r="W27" s="518">
        <v>1</v>
      </c>
    </row>
    <row r="28" spans="1:23" x14ac:dyDescent="0.35">
      <c r="A28" s="518">
        <v>26</v>
      </c>
      <c r="B28" s="518" t="s">
        <v>58</v>
      </c>
      <c r="C28" s="263" t="s">
        <v>447</v>
      </c>
      <c r="D28" s="263" t="str">
        <f t="shared" si="9"/>
        <v>0,5-8 mcg/kg/min</v>
      </c>
      <c r="E28" s="263" t="s">
        <v>176</v>
      </c>
      <c r="F28" s="518">
        <v>10</v>
      </c>
      <c r="G28" s="518">
        <v>50</v>
      </c>
      <c r="H28" s="518">
        <v>20</v>
      </c>
      <c r="I28" s="518">
        <v>50</v>
      </c>
      <c r="J28" s="706">
        <v>40</v>
      </c>
      <c r="K28" s="706">
        <v>50</v>
      </c>
      <c r="L28" s="518">
        <f t="shared" si="0"/>
        <v>20</v>
      </c>
      <c r="M28" s="518">
        <f t="shared" si="1"/>
        <v>50</v>
      </c>
      <c r="N28" s="518">
        <f t="shared" si="5"/>
        <v>0</v>
      </c>
      <c r="O28" s="518">
        <f t="shared" si="8"/>
        <v>0</v>
      </c>
      <c r="P28" s="518">
        <f t="shared" si="6"/>
        <v>20</v>
      </c>
      <c r="Q28" s="518">
        <f t="shared" si="7"/>
        <v>50</v>
      </c>
      <c r="R28" s="518">
        <v>10</v>
      </c>
      <c r="S28" s="518">
        <f>IF(Q28&gt;0,ROUND(1000*R28/10*(P28/Q28)/(_Pat_Gewicht/10)/60,3),0)</f>
        <v>0.66700000000000004</v>
      </c>
      <c r="T28" s="518">
        <v>0.5</v>
      </c>
      <c r="U28" s="518">
        <v>8</v>
      </c>
      <c r="V28" s="518">
        <v>10</v>
      </c>
      <c r="W28" s="518">
        <v>1</v>
      </c>
    </row>
    <row r="29" spans="1:23" x14ac:dyDescent="0.35">
      <c r="A29" s="518">
        <v>27</v>
      </c>
      <c r="B29" s="518" t="s">
        <v>414</v>
      </c>
      <c r="C29" s="263" t="s">
        <v>447</v>
      </c>
      <c r="D29" s="263" t="str">
        <f t="shared" si="9"/>
        <v>0,05-0,5 mcg/kg/min</v>
      </c>
      <c r="E29" s="263" t="s">
        <v>176</v>
      </c>
      <c r="F29" s="518">
        <v>1</v>
      </c>
      <c r="G29" s="518">
        <v>50</v>
      </c>
      <c r="H29" s="518">
        <v>2</v>
      </c>
      <c r="I29" s="518">
        <v>50</v>
      </c>
      <c r="J29" s="706">
        <v>5</v>
      </c>
      <c r="K29" s="706">
        <v>50</v>
      </c>
      <c r="L29" s="518">
        <f t="shared" si="0"/>
        <v>2</v>
      </c>
      <c r="M29" s="518">
        <f t="shared" si="1"/>
        <v>50</v>
      </c>
      <c r="N29" s="518">
        <f t="shared" si="5"/>
        <v>0</v>
      </c>
      <c r="O29" s="518">
        <f t="shared" si="8"/>
        <v>0</v>
      </c>
      <c r="P29" s="518">
        <f t="shared" si="6"/>
        <v>2</v>
      </c>
      <c r="Q29" s="518">
        <f t="shared" si="7"/>
        <v>50</v>
      </c>
      <c r="R29" s="518">
        <v>10</v>
      </c>
      <c r="S29" s="518">
        <f>IF(Q29&gt;0,ROUND(1000*R29/10*(P29/Q29)/(_Pat_Gewicht/10)/60,3),0)</f>
        <v>6.7000000000000004E-2</v>
      </c>
      <c r="T29" s="518">
        <v>0.05</v>
      </c>
      <c r="U29" s="518">
        <v>0.5</v>
      </c>
      <c r="V29" s="518">
        <v>1</v>
      </c>
      <c r="W29" s="518">
        <v>1</v>
      </c>
    </row>
    <row r="30" spans="1:23" x14ac:dyDescent="0.35">
      <c r="A30" s="518">
        <v>28</v>
      </c>
      <c r="B30" s="263" t="s">
        <v>350</v>
      </c>
      <c r="C30" s="263" t="s">
        <v>387</v>
      </c>
      <c r="D30" s="263" t="str">
        <f t="shared" si="9"/>
        <v>1-4 mg/kg/uur</v>
      </c>
      <c r="E30" s="263" t="s">
        <v>176</v>
      </c>
      <c r="F30" s="518">
        <v>10</v>
      </c>
      <c r="G30" s="518">
        <v>1</v>
      </c>
      <c r="H30" s="518">
        <v>10</v>
      </c>
      <c r="I30" s="518">
        <v>1</v>
      </c>
      <c r="J30" s="706">
        <v>10</v>
      </c>
      <c r="K30" s="706">
        <v>1</v>
      </c>
      <c r="L30" s="518">
        <f t="shared" si="0"/>
        <v>10</v>
      </c>
      <c r="M30" s="518">
        <f t="shared" si="1"/>
        <v>1</v>
      </c>
      <c r="N30" s="518">
        <f t="shared" si="5"/>
        <v>0</v>
      </c>
      <c r="O30" s="518">
        <f t="shared" si="8"/>
        <v>0</v>
      </c>
      <c r="P30" s="518">
        <f t="shared" si="6"/>
        <v>10</v>
      </c>
      <c r="Q30" s="518">
        <f t="shared" si="7"/>
        <v>1</v>
      </c>
      <c r="R30" s="518">
        <v>10</v>
      </c>
      <c r="S30" s="518">
        <f>IF(Q30&gt;0,ROUND(R30/10*(P30/Q30)/(_Pat_Gewicht/10),3),0)</f>
        <v>1</v>
      </c>
      <c r="T30" s="518">
        <v>1</v>
      </c>
      <c r="U30" s="518">
        <v>4</v>
      </c>
      <c r="V30" s="518">
        <v>4</v>
      </c>
      <c r="W30" s="518">
        <v>1</v>
      </c>
    </row>
    <row r="31" spans="1:23" x14ac:dyDescent="0.35">
      <c r="A31" s="518">
        <v>29</v>
      </c>
      <c r="B31" s="263" t="s">
        <v>351</v>
      </c>
      <c r="C31" s="263" t="s">
        <v>387</v>
      </c>
      <c r="D31" s="263" t="str">
        <f t="shared" si="9"/>
        <v>1-4 mg/kg/uur</v>
      </c>
      <c r="E31" s="263" t="s">
        <v>176</v>
      </c>
      <c r="F31" s="518">
        <v>20</v>
      </c>
      <c r="G31" s="518">
        <v>1</v>
      </c>
      <c r="H31" s="518">
        <v>20</v>
      </c>
      <c r="I31" s="518">
        <v>1</v>
      </c>
      <c r="J31" s="706">
        <v>20</v>
      </c>
      <c r="K31" s="706">
        <v>1</v>
      </c>
      <c r="L31" s="518">
        <f t="shared" si="0"/>
        <v>20</v>
      </c>
      <c r="M31" s="518">
        <f t="shared" si="1"/>
        <v>1</v>
      </c>
      <c r="N31" s="518">
        <f t="shared" si="5"/>
        <v>0</v>
      </c>
      <c r="O31" s="518">
        <f t="shared" si="8"/>
        <v>0</v>
      </c>
      <c r="P31" s="518">
        <f t="shared" si="6"/>
        <v>20</v>
      </c>
      <c r="Q31" s="518">
        <f t="shared" si="7"/>
        <v>1</v>
      </c>
      <c r="R31" s="518">
        <v>10</v>
      </c>
      <c r="S31" s="518">
        <f>IF(Q31&gt;0,ROUND(R31/10*(P31/Q31)/(_Pat_Gewicht/10),3),0)</f>
        <v>2</v>
      </c>
      <c r="T31" s="518">
        <v>1</v>
      </c>
      <c r="U31" s="518">
        <v>4</v>
      </c>
      <c r="V31" s="518">
        <v>4</v>
      </c>
      <c r="W31" s="518">
        <v>1</v>
      </c>
    </row>
    <row r="32" spans="1:23" x14ac:dyDescent="0.35">
      <c r="A32" s="518">
        <v>30</v>
      </c>
      <c r="B32" s="518" t="s">
        <v>296</v>
      </c>
      <c r="C32" s="263" t="s">
        <v>387</v>
      </c>
      <c r="D32" s="263" t="str">
        <f t="shared" si="9"/>
        <v>0,6-1,2 mg/kg/uur</v>
      </c>
      <c r="E32" s="263" t="s">
        <v>176</v>
      </c>
      <c r="F32" s="518">
        <v>50</v>
      </c>
      <c r="G32" s="518">
        <v>50</v>
      </c>
      <c r="H32" s="518">
        <v>100</v>
      </c>
      <c r="I32" s="518">
        <v>50</v>
      </c>
      <c r="J32" s="706">
        <v>200</v>
      </c>
      <c r="K32" s="706">
        <v>50</v>
      </c>
      <c r="L32" s="518">
        <f t="shared" si="0"/>
        <v>100</v>
      </c>
      <c r="M32" s="518">
        <f t="shared" si="1"/>
        <v>50</v>
      </c>
      <c r="N32" s="518">
        <f t="shared" si="5"/>
        <v>0</v>
      </c>
      <c r="O32" s="518">
        <f t="shared" si="8"/>
        <v>0</v>
      </c>
      <c r="P32" s="518">
        <f t="shared" si="6"/>
        <v>100</v>
      </c>
      <c r="Q32" s="518">
        <f t="shared" si="7"/>
        <v>50</v>
      </c>
      <c r="R32" s="518">
        <v>10</v>
      </c>
      <c r="S32" s="518">
        <f>IF(Q32&gt;0,ROUND(R32/10*(P32/Q32)/(_Pat_Gewicht/10),3),0)</f>
        <v>0.2</v>
      </c>
      <c r="T32" s="518">
        <v>0.6</v>
      </c>
      <c r="U32" s="518">
        <v>1.2</v>
      </c>
      <c r="V32" s="518">
        <v>2</v>
      </c>
      <c r="W32" s="518">
        <v>1</v>
      </c>
    </row>
    <row r="33" spans="1:23" x14ac:dyDescent="0.35">
      <c r="A33" s="518">
        <v>31</v>
      </c>
      <c r="B33" s="518" t="s">
        <v>27</v>
      </c>
      <c r="C33" s="263" t="s">
        <v>447</v>
      </c>
      <c r="D33" s="263" t="str">
        <f t="shared" si="9"/>
        <v>0,1-10 mcg/kg/min</v>
      </c>
      <c r="E33" s="263" t="s">
        <v>176</v>
      </c>
      <c r="F33" s="518">
        <v>5</v>
      </c>
      <c r="G33" s="518">
        <v>50</v>
      </c>
      <c r="H33" s="518">
        <v>10</v>
      </c>
      <c r="I33" s="518">
        <v>50</v>
      </c>
      <c r="J33" s="706">
        <v>20</v>
      </c>
      <c r="K33" s="706">
        <v>50</v>
      </c>
      <c r="L33" s="518">
        <f t="shared" si="0"/>
        <v>10</v>
      </c>
      <c r="M33" s="518">
        <f t="shared" si="1"/>
        <v>50</v>
      </c>
      <c r="N33" s="518">
        <f t="shared" si="5"/>
        <v>0</v>
      </c>
      <c r="O33" s="518">
        <f t="shared" si="8"/>
        <v>0</v>
      </c>
      <c r="P33" s="518">
        <f t="shared" si="6"/>
        <v>10</v>
      </c>
      <c r="Q33" s="518">
        <f t="shared" si="7"/>
        <v>50</v>
      </c>
      <c r="R33" s="518">
        <v>10</v>
      </c>
      <c r="S33" s="518">
        <f>IF(Q33&gt;0,ROUND(1000*R33/10*(P33/Q33)/(_Pat_Gewicht/10)/60,3),0)</f>
        <v>0.33300000000000002</v>
      </c>
      <c r="T33" s="518">
        <v>0.1</v>
      </c>
      <c r="U33" s="518">
        <v>10</v>
      </c>
      <c r="V33" s="518">
        <v>15</v>
      </c>
      <c r="W33" s="518">
        <v>1</v>
      </c>
    </row>
    <row r="34" spans="1:23" x14ac:dyDescent="0.35">
      <c r="A34" s="518">
        <v>32</v>
      </c>
      <c r="B34" s="518" t="s">
        <v>380</v>
      </c>
      <c r="C34" s="263" t="s">
        <v>387</v>
      </c>
      <c r="D34" s="263" t="s">
        <v>468</v>
      </c>
      <c r="E34" s="263" t="s">
        <v>176</v>
      </c>
      <c r="F34" s="518">
        <v>1000</v>
      </c>
      <c r="G34" s="518">
        <v>50</v>
      </c>
      <c r="H34" s="518">
        <v>2000</v>
      </c>
      <c r="I34" s="518">
        <v>50</v>
      </c>
      <c r="J34" s="706">
        <v>4000</v>
      </c>
      <c r="K34" s="706">
        <v>50</v>
      </c>
      <c r="L34" s="518">
        <f t="shared" si="0"/>
        <v>2000</v>
      </c>
      <c r="M34" s="518">
        <f t="shared" si="1"/>
        <v>50</v>
      </c>
      <c r="N34" s="518">
        <f t="shared" si="5"/>
        <v>0</v>
      </c>
      <c r="O34" s="518">
        <f t="shared" si="8"/>
        <v>0</v>
      </c>
      <c r="P34" s="518">
        <f t="shared" si="6"/>
        <v>2000</v>
      </c>
      <c r="Q34" s="518">
        <f t="shared" si="7"/>
        <v>50</v>
      </c>
      <c r="R34" s="518">
        <v>10</v>
      </c>
      <c r="S34" s="518">
        <f>IF(Q34&gt;0,ROUND(R34/10*(P34/Q34)/(_Pat_Gewicht/10),3),0)</f>
        <v>4</v>
      </c>
      <c r="T34" s="518">
        <v>5</v>
      </c>
      <c r="U34" s="518">
        <v>10</v>
      </c>
      <c r="V34" s="518">
        <v>20</v>
      </c>
      <c r="W34" s="518">
        <v>1</v>
      </c>
    </row>
    <row r="35" spans="1:23" x14ac:dyDescent="0.35">
      <c r="B35" s="518">
        <v>1</v>
      </c>
      <c r="C35" s="518">
        <v>2</v>
      </c>
      <c r="D35" s="518">
        <v>3</v>
      </c>
      <c r="E35" s="518">
        <v>4</v>
      </c>
      <c r="F35" s="518">
        <v>5</v>
      </c>
      <c r="G35" s="518">
        <v>6</v>
      </c>
      <c r="H35" s="518">
        <v>7</v>
      </c>
      <c r="I35" s="518">
        <v>8</v>
      </c>
      <c r="J35" s="518">
        <v>9</v>
      </c>
      <c r="K35" s="518">
        <v>10</v>
      </c>
      <c r="L35" s="518">
        <v>11</v>
      </c>
      <c r="M35" s="518">
        <v>12</v>
      </c>
      <c r="N35" s="518">
        <v>13</v>
      </c>
      <c r="O35" s="518">
        <v>14</v>
      </c>
      <c r="P35" s="518">
        <v>15</v>
      </c>
      <c r="Q35" s="518">
        <v>16</v>
      </c>
      <c r="R35" s="518">
        <v>17</v>
      </c>
      <c r="S35" s="518">
        <v>18</v>
      </c>
      <c r="T35" s="518">
        <v>19</v>
      </c>
      <c r="U35" s="518">
        <v>20</v>
      </c>
      <c r="V35" s="518">
        <v>21</v>
      </c>
      <c r="W35" s="518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Disc">
    <tabColor rgb="FF7030A0"/>
  </sheetPr>
  <dimension ref="A1:BL108"/>
  <sheetViews>
    <sheetView workbookViewId="0">
      <pane ySplit="4" topLeftCell="A5" activePane="bottomLeft" state="frozenSplit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 customWidth="1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589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108"/>
    </row>
    <row r="2" spans="1:64" s="31" customFormat="1" ht="17.25" customHeight="1" x14ac:dyDescent="0.4">
      <c r="A2" s="108"/>
      <c r="B2" s="108"/>
      <c r="C2" s="109" t="s">
        <v>328</v>
      </c>
      <c r="D2" s="108"/>
      <c r="E2" s="110">
        <f ca="1">Var_AfspraakDatum</f>
        <v>42736</v>
      </c>
      <c r="F2" s="111"/>
      <c r="G2" s="108"/>
      <c r="H2" s="109" t="s">
        <v>329</v>
      </c>
      <c r="I2" s="108"/>
      <c r="J2" s="112">
        <f>_Pat_OpnDatum</f>
        <v>42736</v>
      </c>
      <c r="K2" s="109" t="str">
        <f ca="1">"ICU-dag: "&amp;Var_AfspraakDatum-_Pat_OpnDatum+1</f>
        <v>ICU-dag: 1</v>
      </c>
      <c r="L2" s="108"/>
      <c r="M2" s="109"/>
      <c r="N2" s="109" t="s">
        <v>551</v>
      </c>
      <c r="O2" s="269" t="str">
        <f>__1_Bed</f>
        <v>Unit 1.2</v>
      </c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</row>
    <row r="3" spans="1:64" s="31" customFormat="1" ht="17.25" customHeight="1" x14ac:dyDescent="0.4">
      <c r="A3" s="108"/>
      <c r="B3" s="108"/>
      <c r="C3" s="109" t="s">
        <v>28</v>
      </c>
      <c r="D3" s="108"/>
      <c r="E3" s="113" t="str">
        <f>__2_AchterNaam&amp;", "&amp;__3_VoorNaam</f>
        <v>Test, Test</v>
      </c>
      <c r="F3" s="113"/>
      <c r="G3" s="108"/>
      <c r="H3" s="109" t="s">
        <v>336</v>
      </c>
      <c r="I3" s="108"/>
      <c r="J3" s="112">
        <f>__4_GebDatum</f>
        <v>42736</v>
      </c>
      <c r="K3" s="114" t="str">
        <f>"Gewicht: "&amp;_Pat_Gewicht/10&amp;" kg"</f>
        <v>Gewicht: 10 kg</v>
      </c>
      <c r="L3" s="109"/>
      <c r="M3" s="108"/>
      <c r="N3" s="114" t="str">
        <f>"Lengte: "&amp;_Pat_Lengte&amp;" cm"</f>
        <v>Lengte: 80 cm</v>
      </c>
      <c r="O3" s="109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8"/>
      <c r="AV3" s="108"/>
      <c r="AW3" s="108"/>
      <c r="AX3" s="108"/>
      <c r="AY3" s="108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</row>
    <row r="4" spans="1:64" s="31" customFormat="1" ht="17.25" customHeight="1" x14ac:dyDescent="0.4">
      <c r="A4" s="108"/>
      <c r="B4" s="108"/>
      <c r="C4" s="109" t="s">
        <v>371</v>
      </c>
      <c r="D4" s="115"/>
      <c r="E4" s="114">
        <f>__0_PatNum</f>
        <v>123456</v>
      </c>
      <c r="F4" s="111"/>
      <c r="G4" s="115"/>
      <c r="H4" s="109" t="s">
        <v>298</v>
      </c>
      <c r="I4" s="115"/>
      <c r="J4" s="116" t="str">
        <f ca="1">TRUNC((Var_AfspraakDatum-__4_GebDatum)/365,0)&amp;" jaar en "&amp;TRUNC(((Var_AfspraakDatum-__4_GebDatum)-365*TRUNC((Var_AfspraakDatum-__4_GebDatum)/365,0))/30,0)&amp;" maand(-en)"</f>
        <v>0 jaar en 0 maand(-en)</v>
      </c>
      <c r="K4" s="109"/>
      <c r="L4" s="115"/>
      <c r="M4" s="109" t="str">
        <f>"Lichamelijk oppervlak: "&amp;ROUND(POWER(_Pat_Gewicht/10,0.424)*POWER(((_Pat_Lengte/100)*100),0.724)*0.007184,2)&amp;" m2"</f>
        <v>Lichamelijk oppervlak: 0,46 m2</v>
      </c>
      <c r="N4" s="109"/>
      <c r="O4" s="115"/>
      <c r="P4" s="115"/>
      <c r="Q4" s="115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  <c r="AK4" s="108"/>
      <c r="AL4" s="108"/>
      <c r="AM4" s="108"/>
      <c r="AN4" s="108"/>
      <c r="AO4" s="108"/>
      <c r="AP4" s="108"/>
      <c r="AQ4" s="108"/>
      <c r="AR4" s="108"/>
      <c r="AS4" s="108"/>
      <c r="AT4" s="108"/>
      <c r="AU4" s="108"/>
      <c r="AV4" s="108"/>
      <c r="AW4" s="108"/>
      <c r="AX4" s="108"/>
      <c r="AY4" s="108"/>
      <c r="AZ4" s="108"/>
      <c r="BA4" s="108"/>
      <c r="BB4" s="108"/>
      <c r="BC4" s="108"/>
      <c r="BD4" s="108"/>
      <c r="BE4" s="108"/>
      <c r="BF4" s="108"/>
      <c r="BG4" s="108"/>
      <c r="BH4" s="108"/>
      <c r="BI4" s="108"/>
      <c r="BJ4" s="108"/>
      <c r="BK4" s="108"/>
    </row>
    <row r="5" spans="1:64" s="246" customFormat="1" x14ac:dyDescent="0.35">
      <c r="A5" s="117"/>
      <c r="B5" s="117"/>
      <c r="C5" s="117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7"/>
      <c r="P5" s="117"/>
      <c r="Q5" s="117"/>
      <c r="R5" s="117"/>
      <c r="S5" s="117"/>
      <c r="T5" s="117"/>
      <c r="U5" s="117"/>
      <c r="V5" s="117"/>
    </row>
    <row r="6" spans="1:64" s="246" customFormat="1" ht="19.55" customHeight="1" x14ac:dyDescent="0.4">
      <c r="A6" s="600"/>
      <c r="B6" s="119">
        <v>1</v>
      </c>
      <c r="C6" s="120"/>
      <c r="D6" s="868">
        <f>PedBerMedDisc!C2</f>
        <v>0</v>
      </c>
      <c r="E6" s="868"/>
      <c r="F6" s="868"/>
      <c r="G6" s="868"/>
      <c r="H6" s="121" t="str">
        <f>IF(INDEX(tblMedDiscTijdenValues,PedBerMedDisc!I2,1)=0,"",INDEX(tblMedDiscTijdenValues,PedBerMedDisc!I2,1))</f>
        <v/>
      </c>
      <c r="I6" s="122" t="str">
        <f>IF(PedBerMedDisc!C2&gt;1,PedBerMedDisc!H2,"")</f>
        <v/>
      </c>
      <c r="J6" s="123" t="str">
        <f>IF(PedBerMedDisc!C2&gt;1,PedBerMedDisc!F2,"")</f>
        <v/>
      </c>
      <c r="K6" s="124">
        <f>PedBerMedDisc!L2</f>
        <v>0</v>
      </c>
      <c r="L6" s="117" t="str">
        <f>IF(AND(PedBerMedDisc!C2&gt;1,PedBerMedDisc!O2&gt;1),PedBerMedDisc!N2,"")</f>
        <v/>
      </c>
      <c r="M6" s="117" t="str">
        <f>IF(AND(PedBerMedDisc!C2&gt;1,L6&lt;&gt;0,PedBerMedDisc!O2&gt;1),"ml","")</f>
        <v/>
      </c>
      <c r="N6" s="117"/>
      <c r="O6" s="117" t="str">
        <f>IF(AND(L6&lt;&gt;"",PedBerMedDisc!Q2&gt;0),PedBerMedDisc!Q2&amp;" min","")</f>
        <v/>
      </c>
      <c r="P6" s="117"/>
      <c r="Q6" s="117"/>
      <c r="R6" s="117"/>
      <c r="S6" s="117"/>
      <c r="T6" s="117"/>
      <c r="U6" s="117"/>
      <c r="V6" s="117"/>
    </row>
    <row r="7" spans="1:64" s="246" customFormat="1" ht="19.55" customHeight="1" x14ac:dyDescent="0.35">
      <c r="A7" s="118"/>
      <c r="B7" s="125" t="s">
        <v>315</v>
      </c>
      <c r="C7" s="126"/>
      <c r="D7" s="128">
        <f>GlobBerOpm!C7</f>
        <v>0</v>
      </c>
      <c r="E7" s="128"/>
      <c r="F7" s="128"/>
      <c r="G7" s="128"/>
      <c r="H7" s="127" t="str">
        <f>IF(PedBerMedDisc!C2&gt;1,"Dosering/kg/dag: ","")</f>
        <v/>
      </c>
      <c r="I7" s="126"/>
      <c r="J7" s="128" t="str">
        <f>IF(PedBerMedDisc!C2&gt;1,PedBerMedDisc!M2,"")</f>
        <v/>
      </c>
      <c r="K7" s="126" t="str">
        <f>IF(AND(PedBerMedDisc!C2&gt;1),J6&amp;"/kg/dag ","")</f>
        <v/>
      </c>
      <c r="L7" s="126"/>
      <c r="M7" s="126" t="str">
        <f>IF(AND(PedBerMedDisc!C2&gt;1,PedBerMedDisc!O2&gt;1,PedBerMedDisc!N2&gt;0),"Oplossing:","")</f>
        <v/>
      </c>
      <c r="N7" s="126" t="str">
        <f>IF(AND(PedBerMedDisc!C2&gt;1,PedBerMedDisc!O2&gt;1,PedBerMedDisc!N2&gt;0),ROUND(PedBerMedDisc!H2/PedBerMedDisc!N2,2)&amp;" "&amp;PedBerMedDisc!F2&amp;"/ml","")</f>
        <v/>
      </c>
      <c r="O7" s="126"/>
      <c r="P7" s="126"/>
      <c r="Q7" s="117"/>
      <c r="R7" s="117"/>
      <c r="S7" s="117"/>
      <c r="T7" s="117"/>
      <c r="U7" s="117"/>
      <c r="V7" s="117"/>
    </row>
    <row r="8" spans="1:64" s="246" customFormat="1" ht="19.55" customHeight="1" x14ac:dyDescent="0.4">
      <c r="A8" s="117"/>
      <c r="B8" s="119">
        <v>2</v>
      </c>
      <c r="C8" s="120"/>
      <c r="D8" s="868">
        <f>PedBerMedDisc!C3</f>
        <v>0</v>
      </c>
      <c r="E8" s="868"/>
      <c r="F8" s="868"/>
      <c r="G8" s="868"/>
      <c r="H8" s="121" t="str">
        <f>IF(INDEX(tblMedDiscTijdenValues,PedBerMedDisc!I3,1)=0,"",INDEX(tblMedDiscTijdenValues,PedBerMedDisc!I3,1))</f>
        <v/>
      </c>
      <c r="I8" s="122" t="str">
        <f>IF(PedBerMedDisc!C3&gt;1,PedBerMedDisc!H3,"")</f>
        <v/>
      </c>
      <c r="J8" s="123" t="str">
        <f>IF(PedBerMedDisc!C3&gt;1,PedBerMedDisc!F3,"")</f>
        <v/>
      </c>
      <c r="K8" s="124">
        <f>PedBerMedDisc!L3</f>
        <v>0</v>
      </c>
      <c r="L8" s="117" t="str">
        <f>IF(AND(PedBerMedDisc!C3&gt;1,PedBerMedDisc!O3&gt;1,H8&lt;&gt;"STOP"),PedBerMedDisc!N3,"")</f>
        <v/>
      </c>
      <c r="M8" s="117" t="str">
        <f>IF(AND(PedBerMedDisc!C3&gt;1,L8&lt;&gt;0,PedBerMedDisc!O3&gt;1,H8&lt;&gt;"STOP"),"ml","")</f>
        <v/>
      </c>
      <c r="N8" s="117"/>
      <c r="O8" s="117" t="str">
        <f>IF(AND(L8&lt;&gt;"",PedBerMedDisc!Q3&gt;0,H8&lt;&gt;"STOP"),PedBerMedDisc!Q3&amp;" min","")</f>
        <v/>
      </c>
      <c r="P8" s="117"/>
      <c r="Q8" s="117"/>
      <c r="R8" s="117"/>
      <c r="S8" s="117"/>
      <c r="T8" s="117"/>
      <c r="U8" s="117"/>
      <c r="V8" s="117"/>
    </row>
    <row r="9" spans="1:64" s="246" customFormat="1" ht="19.55" customHeight="1" x14ac:dyDescent="0.35">
      <c r="A9" s="117"/>
      <c r="B9" s="125" t="s">
        <v>315</v>
      </c>
      <c r="C9" s="126"/>
      <c r="D9" s="128">
        <f>GlobBerOpm!C8</f>
        <v>0</v>
      </c>
      <c r="E9" s="128"/>
      <c r="F9" s="128"/>
      <c r="G9" s="128"/>
      <c r="H9" s="127" t="str">
        <f>IF(AND(PedBerMedDisc!C3&gt;1,H8&lt;&gt;"STOP"),"Dosering/kg/dag: ","")</f>
        <v/>
      </c>
      <c r="I9" s="126"/>
      <c r="J9" s="128" t="str">
        <f>IF(PedBerMedDisc!C3&gt;1,PedBerMedDisc!M3,"")</f>
        <v/>
      </c>
      <c r="K9" s="126" t="str">
        <f>IF(AND(PedBerMedDisc!C3&gt;1,H8&lt;&gt;"STOP"),J8&amp;"/kg/dag ","")</f>
        <v/>
      </c>
      <c r="L9" s="126"/>
      <c r="M9" s="126" t="str">
        <f>IF(AND(PedBerMedDisc!C3&gt;1,PedBerMedDisc!O3&gt;1,PedBerMedDisc!N3&gt;0,H8&lt;&gt;"STOP"),"Oplossing:","")</f>
        <v/>
      </c>
      <c r="N9" s="126" t="str">
        <f>IF(AND(PedBerMedDisc!C3&gt;1,PedBerMedDisc!O3&gt;1,PedBerMedDisc!N3&gt;0,H8&lt;&gt;"STOP"),ROUND(PedBerMedDisc!H3/PedBerMedDisc!N3,2)&amp;" "&amp;PedBerMedDisc!F3&amp;"/ml","")</f>
        <v/>
      </c>
      <c r="O9" s="126"/>
      <c r="P9" s="126"/>
      <c r="Q9" s="117"/>
      <c r="R9" s="117"/>
      <c r="S9" s="117"/>
      <c r="T9" s="117"/>
      <c r="U9" s="117"/>
      <c r="V9" s="117"/>
    </row>
    <row r="10" spans="1:64" s="246" customFormat="1" ht="19.55" customHeight="1" x14ac:dyDescent="0.4">
      <c r="A10" s="117"/>
      <c r="B10" s="119">
        <v>3</v>
      </c>
      <c r="C10" s="120"/>
      <c r="D10" s="868">
        <f>PedBerMedDisc!C4</f>
        <v>0</v>
      </c>
      <c r="E10" s="868"/>
      <c r="F10" s="868"/>
      <c r="G10" s="868"/>
      <c r="H10" s="121" t="str">
        <f>IF(INDEX(tblMedDiscTijdenValues,PedBerMedDisc!I4,1)=0,"",INDEX(tblMedDiscTijdenValues,PedBerMedDisc!I4,1))</f>
        <v/>
      </c>
      <c r="I10" s="122" t="str">
        <f>IF(PedBerMedDisc!C4&gt;1,PedBerMedDisc!H4,"")</f>
        <v/>
      </c>
      <c r="J10" s="123" t="str">
        <f>IF(PedBerMedDisc!C4&gt;1,PedBerMedDisc!F4,"")</f>
        <v/>
      </c>
      <c r="K10" s="124">
        <f>PedBerMedDisc!L4</f>
        <v>0</v>
      </c>
      <c r="L10" s="117" t="str">
        <f>IF(AND(PedBerMedDisc!C4&gt;1,PedBerMedDisc!O4&gt;1,H10&lt;&gt;"STOP"),PedBerMedDisc!N4,"")</f>
        <v/>
      </c>
      <c r="M10" s="117" t="str">
        <f>IF(AND(PedBerMedDisc!C4&gt;1,L10&lt;&gt;0,PedBerMedDisc!O4&gt;1,H10&lt;&gt;"STOP"),"ml","")</f>
        <v/>
      </c>
      <c r="N10" s="117"/>
      <c r="O10" s="117" t="str">
        <f>IF(AND(L10&lt;&gt;"",PedBerMedDisc!Q4&gt;0,H10&lt;&gt;"STOP"),PedBerMedDisc!Q4&amp;" min","")</f>
        <v/>
      </c>
      <c r="P10" s="117"/>
      <c r="Q10" s="117"/>
      <c r="R10" s="117"/>
      <c r="S10" s="117"/>
      <c r="T10" s="117"/>
      <c r="U10" s="117"/>
      <c r="V10" s="117"/>
    </row>
    <row r="11" spans="1:64" s="246" customFormat="1" ht="19.55" customHeight="1" x14ac:dyDescent="0.35">
      <c r="A11" s="117"/>
      <c r="B11" s="125" t="s">
        <v>315</v>
      </c>
      <c r="C11" s="126"/>
      <c r="D11" s="128">
        <f>GlobBerOpm!C9</f>
        <v>0</v>
      </c>
      <c r="E11" s="128"/>
      <c r="F11" s="128"/>
      <c r="G11" s="128"/>
      <c r="H11" s="127" t="str">
        <f>IF(AND(PedBerMedDisc!C4&gt;1,H10&lt;&gt;"STOP"),"Dosering/kg/dag: ","")</f>
        <v/>
      </c>
      <c r="I11" s="126"/>
      <c r="J11" s="128" t="str">
        <f>IF(PedBerMedDisc!C4&gt;1,PedBerMedDisc!M4,"")</f>
        <v/>
      </c>
      <c r="K11" s="126" t="str">
        <f>IF(AND(PedBerMedDisc!C4&gt;1,H10&lt;&gt;"STOP"),J10&amp;"/kg/dag ","")</f>
        <v/>
      </c>
      <c r="L11" s="126"/>
      <c r="M11" s="126" t="str">
        <f>IF(AND(PedBerMedDisc!C4&gt;1,PedBerMedDisc!O4&gt;1,PedBerMedDisc!N4&gt;0,H10&lt;&gt;"STOP"),"Oplossing:","")</f>
        <v/>
      </c>
      <c r="N11" s="126" t="str">
        <f>IF(AND(PedBerMedDisc!C4&gt;1,PedBerMedDisc!O4&gt;1,PedBerMedDisc!N4&gt;0,H10&lt;&gt;"STOP"),ROUND(PedBerMedDisc!H4/PedBerMedDisc!N4,2)&amp;" "&amp;PedBerMedDisc!F4&amp;"/ml","")</f>
        <v/>
      </c>
      <c r="O11" s="126"/>
      <c r="P11" s="126"/>
      <c r="Q11" s="117"/>
      <c r="R11" s="117"/>
      <c r="S11" s="117"/>
      <c r="T11" s="117"/>
      <c r="U11" s="117"/>
      <c r="V11" s="117"/>
    </row>
    <row r="12" spans="1:64" s="246" customFormat="1" ht="19.55" customHeight="1" x14ac:dyDescent="0.4">
      <c r="A12" s="117"/>
      <c r="B12" s="119">
        <v>4</v>
      </c>
      <c r="C12" s="120"/>
      <c r="D12" s="868">
        <f>PedBerMedDisc!C5</f>
        <v>0</v>
      </c>
      <c r="E12" s="868"/>
      <c r="F12" s="868"/>
      <c r="G12" s="868"/>
      <c r="H12" s="121" t="str">
        <f>IF(INDEX(tblMedDiscTijdenValues,PedBerMedDisc!I5,1)=0,"",INDEX(tblMedDiscTijdenValues,PedBerMedDisc!I5,1))</f>
        <v/>
      </c>
      <c r="I12" s="122" t="str">
        <f>IF(PedBerMedDisc!C5&gt;1,PedBerMedDisc!H5,"")</f>
        <v/>
      </c>
      <c r="J12" s="123" t="str">
        <f>IF(PedBerMedDisc!C5&gt;1,PedBerMedDisc!F5,"")</f>
        <v/>
      </c>
      <c r="K12" s="124">
        <f>PedBerMedDisc!L5</f>
        <v>0</v>
      </c>
      <c r="L12" s="117" t="str">
        <f>IF(AND(PedBerMedDisc!C5&gt;1,PedBerMedDisc!O5&gt;1,H12&lt;&gt;"STOP"),PedBerMedDisc!N5,"")</f>
        <v/>
      </c>
      <c r="M12" s="117" t="str">
        <f>IF(AND(PedBerMedDisc!C5&gt;1,L12&lt;&gt;0,PedBerMedDisc!O5&gt;1,H12&lt;&gt;"STOP"),"ml","")</f>
        <v/>
      </c>
      <c r="N12" s="117"/>
      <c r="O12" s="117" t="str">
        <f>IF(AND(L12&lt;&gt;"",PedBerMedDisc!Q5&gt;0,H12&lt;&gt;"STOP"),PedBerMedDisc!Q5&amp;" min","")</f>
        <v/>
      </c>
      <c r="P12" s="117"/>
      <c r="Q12" s="117"/>
      <c r="R12" s="117"/>
      <c r="S12" s="117"/>
      <c r="T12" s="117"/>
      <c r="U12" s="117"/>
      <c r="V12" s="117"/>
    </row>
    <row r="13" spans="1:64" s="246" customFormat="1" ht="19.55" customHeight="1" x14ac:dyDescent="0.35">
      <c r="A13" s="117"/>
      <c r="B13" s="125" t="s">
        <v>315</v>
      </c>
      <c r="C13" s="126"/>
      <c r="D13" s="128">
        <f>GlobBerOpm!C10</f>
        <v>0</v>
      </c>
      <c r="E13" s="128"/>
      <c r="F13" s="128"/>
      <c r="G13" s="128"/>
      <c r="H13" s="127" t="str">
        <f>IF(AND(PedBerMedDisc!C5&gt;1,H12&lt;&gt;"STOP"),"Dosering/kg/dag: ","")</f>
        <v/>
      </c>
      <c r="I13" s="126"/>
      <c r="J13" s="128" t="str">
        <f>IF(PedBerMedDisc!C5&gt;1,PedBerMedDisc!M5,"")</f>
        <v/>
      </c>
      <c r="K13" s="126" t="str">
        <f>IF(AND(PedBerMedDisc!C5&gt;1,H12&lt;&gt;"STOP"),J12&amp;"/kg/dag ","")</f>
        <v/>
      </c>
      <c r="L13" s="126"/>
      <c r="M13" s="126" t="str">
        <f>IF(AND(PedBerMedDisc!C5&gt;1,PedBerMedDisc!O5&gt;1,PedBerMedDisc!N5&gt;0,H12&lt;&gt;"STOP"),"Oplossing:","")</f>
        <v/>
      </c>
      <c r="N13" s="126" t="str">
        <f>IF(AND(PedBerMedDisc!C5&gt;1,PedBerMedDisc!O5&gt;1,PedBerMedDisc!N5&gt;0,H12&lt;&gt;"STOP"),ROUND(PedBerMedDisc!H5/PedBerMedDisc!N5,2)&amp;" "&amp;PedBerMedDisc!F5&amp;"/ml","")</f>
        <v/>
      </c>
      <c r="O13" s="126"/>
      <c r="P13" s="126"/>
      <c r="Q13" s="117"/>
      <c r="R13" s="129"/>
      <c r="S13" s="129"/>
      <c r="T13" s="129"/>
      <c r="U13" s="129"/>
      <c r="V13" s="129"/>
      <c r="W13" s="247"/>
      <c r="X13" s="247"/>
      <c r="Y13" s="247"/>
      <c r="Z13" s="247"/>
      <c r="AA13" s="247"/>
      <c r="AB13" s="247"/>
      <c r="AC13" s="247"/>
      <c r="AD13" s="247"/>
      <c r="AE13" s="247"/>
      <c r="AF13" s="247"/>
      <c r="AG13" s="247"/>
      <c r="AH13" s="247"/>
      <c r="AI13" s="247"/>
      <c r="AJ13" s="247"/>
      <c r="AK13" s="247"/>
      <c r="AL13" s="247"/>
      <c r="AM13" s="247"/>
      <c r="AN13" s="247"/>
      <c r="AO13" s="247"/>
      <c r="AP13" s="247"/>
      <c r="AQ13" s="247"/>
      <c r="AR13" s="247"/>
      <c r="AS13" s="247"/>
      <c r="AT13" s="247"/>
      <c r="AU13" s="247"/>
      <c r="AV13" s="247"/>
      <c r="AW13" s="247"/>
      <c r="AX13" s="247"/>
      <c r="AY13" s="247"/>
      <c r="AZ13" s="247"/>
      <c r="BA13" s="247"/>
      <c r="BB13" s="247"/>
      <c r="BC13" s="247"/>
      <c r="BD13" s="247"/>
      <c r="BE13" s="247"/>
      <c r="BF13" s="247"/>
      <c r="BG13" s="247"/>
      <c r="BH13" s="247"/>
      <c r="BI13" s="247"/>
      <c r="BJ13" s="247"/>
      <c r="BK13" s="247"/>
      <c r="BL13" s="247"/>
    </row>
    <row r="14" spans="1:64" s="247" customFormat="1" ht="19.55" customHeight="1" x14ac:dyDescent="0.4">
      <c r="A14" s="117"/>
      <c r="B14" s="119">
        <v>5</v>
      </c>
      <c r="C14" s="120"/>
      <c r="D14" s="868">
        <f>PedBerMedDisc!C6</f>
        <v>0</v>
      </c>
      <c r="E14" s="868"/>
      <c r="F14" s="868"/>
      <c r="G14" s="868"/>
      <c r="H14" s="121" t="str">
        <f>IF(INDEX(tblMedDiscTijdenValues,PedBerMedDisc!I6,1)=0,"",INDEX(tblMedDiscTijdenValues,PedBerMedDisc!I6,1))</f>
        <v/>
      </c>
      <c r="I14" s="122" t="str">
        <f>IF(PedBerMedDisc!C6&gt;1,PedBerMedDisc!H6,"")</f>
        <v/>
      </c>
      <c r="J14" s="123" t="str">
        <f>IF(PedBerMedDisc!C6&gt;1,PedBerMedDisc!F6,"")</f>
        <v/>
      </c>
      <c r="K14" s="124">
        <f>PedBerMedDisc!L6</f>
        <v>0</v>
      </c>
      <c r="L14" s="117" t="str">
        <f>IF(AND(PedBerMedDisc!C6&gt;1,PedBerMedDisc!O6&gt;1,H14&lt;&gt;"STOP"),PedBerMedDisc!N6,"")</f>
        <v/>
      </c>
      <c r="M14" s="117" t="str">
        <f>IF(AND(PedBerMedDisc!C6&gt;1,L14&lt;&gt;0,PedBerMedDisc!O6&gt;1,H14&lt;&gt;"STOP"),"ml","")</f>
        <v/>
      </c>
      <c r="N14" s="117"/>
      <c r="O14" s="117" t="str">
        <f>IF(AND(L14&lt;&gt;"",PedBerMedDisc!Q6&gt;0,H14&lt;&gt;"STOP"),PedBerMedDisc!Q6&amp;" min","")</f>
        <v/>
      </c>
      <c r="P14" s="117"/>
      <c r="Q14" s="117"/>
      <c r="R14" s="117"/>
      <c r="S14" s="117"/>
      <c r="T14" s="117"/>
      <c r="U14" s="117"/>
      <c r="V14" s="117"/>
      <c r="W14" s="246"/>
      <c r="X14" s="246"/>
      <c r="Y14" s="246"/>
      <c r="Z14" s="246"/>
      <c r="AA14" s="246"/>
      <c r="AB14" s="246"/>
      <c r="AC14" s="246"/>
      <c r="AD14" s="246"/>
      <c r="AE14" s="246"/>
      <c r="AF14" s="246"/>
      <c r="AG14" s="246"/>
      <c r="AH14" s="246"/>
      <c r="AI14" s="246"/>
      <c r="AJ14" s="246"/>
      <c r="AK14" s="246"/>
      <c r="AL14" s="246"/>
      <c r="AM14" s="246"/>
      <c r="AN14" s="246"/>
      <c r="AO14" s="246"/>
      <c r="AP14" s="246"/>
      <c r="AQ14" s="246"/>
      <c r="AR14" s="246"/>
      <c r="AS14" s="246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6"/>
      <c r="BE14" s="246"/>
      <c r="BF14" s="246"/>
      <c r="BG14" s="246"/>
      <c r="BH14" s="246"/>
      <c r="BI14" s="246"/>
      <c r="BJ14" s="246"/>
      <c r="BK14" s="246"/>
      <c r="BL14" s="246"/>
    </row>
    <row r="15" spans="1:64" s="246" customFormat="1" ht="19.55" customHeight="1" x14ac:dyDescent="0.35">
      <c r="A15" s="117"/>
      <c r="B15" s="125" t="s">
        <v>315</v>
      </c>
      <c r="C15" s="126"/>
      <c r="D15" s="128">
        <f>GlobBerOpm!C11</f>
        <v>0</v>
      </c>
      <c r="E15" s="128"/>
      <c r="F15" s="128"/>
      <c r="G15" s="128"/>
      <c r="H15" s="127" t="str">
        <f>IF(AND(PedBerMedDisc!C6&gt;1,H14&lt;&gt;"STOP"),"Dosering/kg/dag: ","")</f>
        <v/>
      </c>
      <c r="I15" s="126"/>
      <c r="J15" s="128" t="str">
        <f>IF(PedBerMedDisc!C6&gt;1,PedBerMedDisc!M6,"")</f>
        <v/>
      </c>
      <c r="K15" s="126" t="str">
        <f>IF(AND(PedBerMedDisc!C6&gt;1,H14&lt;&gt;"STOP"),J14&amp;"/kg/dag ","")</f>
        <v/>
      </c>
      <c r="L15" s="126"/>
      <c r="M15" s="126" t="str">
        <f>IF(AND(PedBerMedDisc!C6&gt;1,PedBerMedDisc!O6&gt;1,PedBerMedDisc!N6&gt;0,H14&lt;&gt;"STOP"),"Oplossing:","")</f>
        <v/>
      </c>
      <c r="N15" s="126" t="str">
        <f>IF(AND(PedBerMedDisc!C6&gt;1,PedBerMedDisc!O6&gt;1,PedBerMedDisc!N6&gt;0,H14&lt;&gt;"STOP"),ROUND(PedBerMedDisc!H6/PedBerMedDisc!N6,2)&amp;" "&amp;PedBerMedDisc!F6&amp;"/ml","")</f>
        <v/>
      </c>
      <c r="O15" s="126"/>
      <c r="P15" s="126"/>
      <c r="Q15" s="117"/>
      <c r="R15" s="117"/>
      <c r="S15" s="117"/>
      <c r="T15" s="117"/>
      <c r="U15" s="117"/>
      <c r="V15" s="117"/>
    </row>
    <row r="16" spans="1:64" s="246" customFormat="1" ht="19.55" customHeight="1" x14ac:dyDescent="0.4">
      <c r="A16" s="117"/>
      <c r="B16" s="119">
        <v>6</v>
      </c>
      <c r="C16" s="120"/>
      <c r="D16" s="868">
        <f>PedBerMedDisc!C7</f>
        <v>0</v>
      </c>
      <c r="E16" s="868"/>
      <c r="F16" s="868"/>
      <c r="G16" s="868"/>
      <c r="H16" s="121" t="str">
        <f>IF(INDEX(tblMedDiscTijdenValues,PedBerMedDisc!I7,1)=0,"",INDEX(tblMedDiscTijdenValues,PedBerMedDisc!I7,1))</f>
        <v/>
      </c>
      <c r="I16" s="122" t="str">
        <f>IF(PedBerMedDisc!C7&gt;1,PedBerMedDisc!H7,"")</f>
        <v/>
      </c>
      <c r="J16" s="123" t="str">
        <f>IF(PedBerMedDisc!C7&gt;1,PedBerMedDisc!F7,"")</f>
        <v/>
      </c>
      <c r="K16" s="124">
        <f>PedBerMedDisc!L7</f>
        <v>0</v>
      </c>
      <c r="L16" s="117" t="str">
        <f>IF(AND(PedBerMedDisc!C7&gt;1,PedBerMedDisc!O7&gt;1,H16&lt;&gt;"STOP"),PedBerMedDisc!N7,"")</f>
        <v/>
      </c>
      <c r="M16" s="117" t="str">
        <f>IF(AND(PedBerMedDisc!C7&gt;1,L16&lt;&gt;0,PedBerMedDisc!O7&gt;1,H16&lt;&gt;"STOP"),"ml","")</f>
        <v/>
      </c>
      <c r="N16" s="117"/>
      <c r="O16" s="117" t="str">
        <f>IF(AND(L16&lt;&gt;"",PedBerMedDisc!Q7&gt;0,H16&lt;&gt;"STOP"),PedBerMedDisc!Q7&amp;" min","")</f>
        <v/>
      </c>
      <c r="P16" s="117"/>
      <c r="Q16" s="117"/>
      <c r="R16" s="117"/>
      <c r="S16" s="117"/>
      <c r="T16" s="117"/>
      <c r="U16" s="117"/>
      <c r="V16" s="117"/>
    </row>
    <row r="17" spans="1:22" s="246" customFormat="1" ht="19.55" customHeight="1" x14ac:dyDescent="0.35">
      <c r="A17" s="117"/>
      <c r="B17" s="125" t="s">
        <v>315</v>
      </c>
      <c r="C17" s="126"/>
      <c r="D17" s="128">
        <f>GlobBerOpm!C12</f>
        <v>0</v>
      </c>
      <c r="E17" s="128"/>
      <c r="F17" s="128"/>
      <c r="G17" s="128"/>
      <c r="H17" s="127" t="str">
        <f>IF(AND(PedBerMedDisc!C7&gt;1,H16&lt;&gt;"STOP"),"Dosering/kg/dag: ","")</f>
        <v/>
      </c>
      <c r="I17" s="126"/>
      <c r="J17" s="128" t="str">
        <f>IF(PedBerMedDisc!C7&gt;1,PedBerMedDisc!M7,"")</f>
        <v/>
      </c>
      <c r="K17" s="126" t="str">
        <f>IF(AND(PedBerMedDisc!C7&gt;1,H16&lt;&gt;"STOP"),J16&amp;"/kg/dag ","")</f>
        <v/>
      </c>
      <c r="L17" s="126"/>
      <c r="M17" s="126" t="str">
        <f>IF(AND(PedBerMedDisc!C7&gt;1,PedBerMedDisc!O7&gt;1,PedBerMedDisc!N7&gt;0,H16&lt;&gt;"STOP"),"Oplossing:","")</f>
        <v/>
      </c>
      <c r="N17" s="126" t="str">
        <f>IF(AND(PedBerMedDisc!C7&gt;1,PedBerMedDisc!O7&gt;1,PedBerMedDisc!N7&gt;0,H16&lt;&gt;"STOP"),ROUND(PedBerMedDisc!H7/PedBerMedDisc!N7,2)&amp;" "&amp;PedBerMedDisc!F7&amp;"/ml","")</f>
        <v/>
      </c>
      <c r="O17" s="126"/>
      <c r="P17" s="126"/>
      <c r="Q17" s="117"/>
      <c r="R17" s="117"/>
      <c r="S17" s="117"/>
      <c r="T17" s="117"/>
      <c r="U17" s="117"/>
      <c r="V17" s="117"/>
    </row>
    <row r="18" spans="1:22" s="246" customFormat="1" ht="19.55" customHeight="1" x14ac:dyDescent="0.4">
      <c r="A18" s="117"/>
      <c r="B18" s="119">
        <v>7</v>
      </c>
      <c r="C18" s="120"/>
      <c r="D18" s="868">
        <f>PedBerMedDisc!C8</f>
        <v>0</v>
      </c>
      <c r="E18" s="868"/>
      <c r="F18" s="868"/>
      <c r="G18" s="868"/>
      <c r="H18" s="121" t="str">
        <f>IF(INDEX(tblMedDiscTijdenValues,PedBerMedDisc!I8,1)=0,"",INDEX(tblMedDiscTijdenValues,PedBerMedDisc!I8,1))</f>
        <v/>
      </c>
      <c r="I18" s="122" t="str">
        <f>IF(PedBerMedDisc!C8&gt;1,PedBerMedDisc!H8,"")</f>
        <v/>
      </c>
      <c r="J18" s="123" t="str">
        <f>IF(PedBerMedDisc!C8&gt;1,PedBerMedDisc!F8,"")</f>
        <v/>
      </c>
      <c r="K18" s="124">
        <f>PedBerMedDisc!L8</f>
        <v>0</v>
      </c>
      <c r="L18" s="117" t="str">
        <f>IF(AND(PedBerMedDisc!C8&gt;1,PedBerMedDisc!O8&gt;1,H18&lt;&gt;"STOP"),PedBerMedDisc!N8,"")</f>
        <v/>
      </c>
      <c r="M18" s="117" t="str">
        <f>IF(AND(PedBerMedDisc!C8&gt;1,L18&lt;&gt;0,PedBerMedDisc!O8&gt;1,H18&lt;&gt;"STOP"),"ml","")</f>
        <v/>
      </c>
      <c r="N18" s="117"/>
      <c r="O18" s="117" t="str">
        <f>IF(AND(L18&lt;&gt;"",PedBerMedDisc!Q8&gt;0,H18&lt;&gt;"STOP"),PedBerMedDisc!Q8&amp;" min","")</f>
        <v/>
      </c>
      <c r="P18" s="117"/>
      <c r="Q18" s="117"/>
      <c r="R18" s="117"/>
      <c r="S18" s="117"/>
      <c r="T18" s="117"/>
      <c r="U18" s="117"/>
      <c r="V18" s="117"/>
    </row>
    <row r="19" spans="1:22" s="246" customFormat="1" ht="19.55" customHeight="1" x14ac:dyDescent="0.35">
      <c r="A19" s="117"/>
      <c r="B19" s="125" t="s">
        <v>315</v>
      </c>
      <c r="C19" s="126"/>
      <c r="D19" s="128">
        <f>GlobBerOpm!C13</f>
        <v>0</v>
      </c>
      <c r="E19" s="128"/>
      <c r="F19" s="128"/>
      <c r="G19" s="128"/>
      <c r="H19" s="127" t="str">
        <f>IF(AND(PedBerMedDisc!C8&gt;1,H18&lt;&gt;"STOP"),"Dosering/kg/dag: ","")</f>
        <v/>
      </c>
      <c r="I19" s="126"/>
      <c r="J19" s="128" t="str">
        <f>IF(PedBerMedDisc!C8&gt;1,PedBerMedDisc!M8,"")</f>
        <v/>
      </c>
      <c r="K19" s="126" t="str">
        <f>IF(AND(PedBerMedDisc!C8&gt;1,H18&lt;&gt;"STOP"),J18&amp;"/kg/dag ","")</f>
        <v/>
      </c>
      <c r="L19" s="126"/>
      <c r="M19" s="126" t="str">
        <f>IF(AND(PedBerMedDisc!C8&gt;1,PedBerMedDisc!O8&gt;1,PedBerMedDisc!N8&gt;0,H18&lt;&gt;"STOP"),"Oplossing:","")</f>
        <v/>
      </c>
      <c r="N19" s="126" t="str">
        <f>IF(AND(PedBerMedDisc!C8&gt;1,PedBerMedDisc!O8&gt;1,PedBerMedDisc!N8&gt;0,H18&lt;&gt;"STOP"),ROUND(PedBerMedDisc!H8/PedBerMedDisc!N8,2)&amp;" "&amp;PedBerMedDisc!F8&amp;"/ml","")</f>
        <v/>
      </c>
      <c r="O19" s="126"/>
      <c r="P19" s="126"/>
      <c r="Q19" s="117"/>
      <c r="R19" s="117"/>
      <c r="S19" s="117"/>
      <c r="T19" s="117"/>
      <c r="U19" s="117"/>
      <c r="V19" s="117"/>
    </row>
    <row r="20" spans="1:22" s="246" customFormat="1" ht="19.55" customHeight="1" x14ac:dyDescent="0.4">
      <c r="A20" s="117"/>
      <c r="B20" s="119">
        <v>8</v>
      </c>
      <c r="C20" s="120"/>
      <c r="D20" s="868">
        <f>PedBerMedDisc!C9</f>
        <v>0</v>
      </c>
      <c r="E20" s="868"/>
      <c r="F20" s="868"/>
      <c r="G20" s="868"/>
      <c r="H20" s="121" t="str">
        <f>IF(INDEX(tblMedDiscTijdenValues,PedBerMedDisc!I9,1)=0,"",INDEX(tblMedDiscTijdenValues,PedBerMedDisc!I9,1))</f>
        <v/>
      </c>
      <c r="I20" s="122" t="str">
        <f>IF(PedBerMedDisc!C9&gt;1,PedBerMedDisc!H9,"")</f>
        <v/>
      </c>
      <c r="J20" s="123" t="str">
        <f>IF(PedBerMedDisc!C9&gt;1,PedBerMedDisc!F9,"")</f>
        <v/>
      </c>
      <c r="K20" s="124">
        <f>PedBerMedDisc!L9</f>
        <v>0</v>
      </c>
      <c r="L20" s="117" t="str">
        <f>IF(AND(PedBerMedDisc!C9&gt;1,PedBerMedDisc!O9&gt;1,H20&lt;&gt;"STOP"),PedBerMedDisc!N9,"")</f>
        <v/>
      </c>
      <c r="M20" s="117" t="str">
        <f>IF(AND(PedBerMedDisc!C9&gt;1,L20&lt;&gt;0,PedBerMedDisc!O9&gt;1,H20&lt;&gt;"STOP"),"ml","")</f>
        <v/>
      </c>
      <c r="N20" s="117"/>
      <c r="O20" s="117" t="str">
        <f>IF(AND(L20&lt;&gt;"",PedBerMedDisc!Q9&gt;0,H20&lt;&gt;"STOP"),PedBerMedDisc!Q9&amp;" min","")</f>
        <v/>
      </c>
      <c r="P20" s="117"/>
      <c r="Q20" s="117"/>
      <c r="R20" s="117"/>
      <c r="S20" s="117"/>
      <c r="T20" s="117"/>
      <c r="U20" s="117"/>
      <c r="V20" s="117"/>
    </row>
    <row r="21" spans="1:22" s="246" customFormat="1" ht="19.55" customHeight="1" x14ac:dyDescent="0.35">
      <c r="A21" s="117"/>
      <c r="B21" s="125" t="s">
        <v>315</v>
      </c>
      <c r="C21" s="126"/>
      <c r="D21" s="128">
        <f>GlobBerOpm!C14</f>
        <v>0</v>
      </c>
      <c r="E21" s="128"/>
      <c r="F21" s="128"/>
      <c r="G21" s="128"/>
      <c r="H21" s="127" t="str">
        <f>IF(AND(PedBerMedDisc!C9&gt;1,H20&lt;&gt;"STOP"),"Dosering/kg/dag: ","")</f>
        <v/>
      </c>
      <c r="I21" s="126"/>
      <c r="J21" s="128" t="str">
        <f>IF(PedBerMedDisc!C9&gt;1,PedBerMedDisc!M9,"")</f>
        <v/>
      </c>
      <c r="K21" s="126" t="str">
        <f>IF(AND(PedBerMedDisc!C9&gt;1,H20&lt;&gt;"STOP"),J20&amp;"/kg/dag ","")</f>
        <v/>
      </c>
      <c r="L21" s="126"/>
      <c r="M21" s="126" t="str">
        <f>IF(AND(PedBerMedDisc!C9&gt;1,PedBerMedDisc!O9&gt;1,PedBerMedDisc!N9&gt;0,H20&lt;&gt;"STOP"),"Oplossing:","")</f>
        <v/>
      </c>
      <c r="N21" s="126" t="str">
        <f>IF(AND(PedBerMedDisc!C9&gt;1,PedBerMedDisc!O9&gt;1,PedBerMedDisc!N9&gt;0,H20&lt;&gt;"STOP"),ROUND(PedBerMedDisc!H9/PedBerMedDisc!N9,2)&amp;" "&amp;PedBerMedDisc!F9&amp;"/ml","")</f>
        <v/>
      </c>
      <c r="O21" s="126"/>
      <c r="P21" s="126"/>
      <c r="Q21" s="117"/>
      <c r="R21" s="117"/>
      <c r="S21" s="117"/>
      <c r="T21" s="117"/>
      <c r="U21" s="117"/>
      <c r="V21" s="117"/>
    </row>
    <row r="22" spans="1:22" s="246" customFormat="1" ht="19.55" customHeight="1" x14ac:dyDescent="0.4">
      <c r="A22" s="117"/>
      <c r="B22" s="119">
        <v>9</v>
      </c>
      <c r="C22" s="120"/>
      <c r="D22" s="868">
        <f>PedBerMedDisc!C10</f>
        <v>0</v>
      </c>
      <c r="E22" s="868"/>
      <c r="F22" s="868"/>
      <c r="G22" s="868"/>
      <c r="H22" s="121" t="str">
        <f>IF(INDEX(tblMedDiscTijdenValues,PedBerMedDisc!I10,1)=0,"",INDEX(tblMedDiscTijdenValues,PedBerMedDisc!I10,1))</f>
        <v/>
      </c>
      <c r="I22" s="122" t="str">
        <f>IF(PedBerMedDisc!C10&gt;1,PedBerMedDisc!H10,"")</f>
        <v/>
      </c>
      <c r="J22" s="123" t="str">
        <f>IF(PedBerMedDisc!C10&gt;1,PedBerMedDisc!F10,"")</f>
        <v/>
      </c>
      <c r="K22" s="124">
        <f>PedBerMedDisc!L10</f>
        <v>0</v>
      </c>
      <c r="L22" s="117" t="str">
        <f>IF(AND(PedBerMedDisc!C10&gt;1,PedBerMedDisc!O10&gt;1,H22&lt;&gt;"STOP"),PedBerMedDisc!N10,"")</f>
        <v/>
      </c>
      <c r="M22" s="117" t="str">
        <f>IF(AND(PedBerMedDisc!C10&gt;1,L22&lt;&gt;0,PedBerMedDisc!O10&gt;1,H22&lt;&gt;"STOP"),"ml","")</f>
        <v/>
      </c>
      <c r="N22" s="117"/>
      <c r="O22" s="117" t="str">
        <f>IF(AND(L22&lt;&gt;"",PedBerMedDisc!Q10&gt;0,H22&lt;&gt;"STOP"),PedBerMedDisc!Q10&amp;" min","")</f>
        <v/>
      </c>
      <c r="P22" s="117"/>
      <c r="Q22" s="117"/>
      <c r="R22" s="117"/>
      <c r="S22" s="117"/>
      <c r="T22" s="117"/>
      <c r="U22" s="117"/>
      <c r="V22" s="117"/>
    </row>
    <row r="23" spans="1:22" s="246" customFormat="1" ht="19.55" customHeight="1" x14ac:dyDescent="0.35">
      <c r="A23" s="117"/>
      <c r="B23" s="125" t="s">
        <v>315</v>
      </c>
      <c r="C23" s="126"/>
      <c r="D23" s="128">
        <f>GlobBerOpm!C15</f>
        <v>0</v>
      </c>
      <c r="E23" s="128"/>
      <c r="F23" s="128"/>
      <c r="G23" s="128"/>
      <c r="H23" s="127" t="str">
        <f>IF(AND(PedBerMedDisc!C10&gt;1,H22&lt;&gt;"STOP"),"Dosering/kg/dag: ","")</f>
        <v/>
      </c>
      <c r="I23" s="126"/>
      <c r="J23" s="128" t="str">
        <f>IF(PedBerMedDisc!C10&gt;1,PedBerMedDisc!M10,"")</f>
        <v/>
      </c>
      <c r="K23" s="126" t="str">
        <f>IF(AND(PedBerMedDisc!C10&gt;1,H22&lt;&gt;"STOP"),J22&amp;"/kg/dag ","")</f>
        <v/>
      </c>
      <c r="L23" s="126"/>
      <c r="M23" s="126" t="str">
        <f>IF(AND(PedBerMedDisc!C10&gt;1,PedBerMedDisc!O10&gt;1,PedBerMedDisc!N10&gt;0,H22&lt;&gt;"STOP"),"Oplossing:","")</f>
        <v/>
      </c>
      <c r="N23" s="126" t="str">
        <f>IF(AND(PedBerMedDisc!C10&gt;1,PedBerMedDisc!O10&gt;1,PedBerMedDisc!N10&gt;0,H22&lt;&gt;"STOP"),ROUND(PedBerMedDisc!H10/PedBerMedDisc!N10,2)&amp;" "&amp;PedBerMedDisc!F10&amp;"/ml","")</f>
        <v/>
      </c>
      <c r="O23" s="126"/>
      <c r="P23" s="126"/>
      <c r="Q23" s="117"/>
      <c r="R23" s="117"/>
      <c r="S23" s="117"/>
      <c r="T23" s="117"/>
      <c r="U23" s="117"/>
      <c r="V23" s="117"/>
    </row>
    <row r="24" spans="1:22" s="246" customFormat="1" ht="19.55" customHeight="1" x14ac:dyDescent="0.4">
      <c r="A24" s="117"/>
      <c r="B24" s="119">
        <v>10</v>
      </c>
      <c r="C24" s="120"/>
      <c r="D24" s="868">
        <f>PedBerMedDisc!C11</f>
        <v>0</v>
      </c>
      <c r="E24" s="868"/>
      <c r="F24" s="868"/>
      <c r="G24" s="868"/>
      <c r="H24" s="121" t="str">
        <f>IF(INDEX(tblMedDiscTijdenValues,PedBerMedDisc!I11,1)=0,"",INDEX(tblMedDiscTijdenValues,PedBerMedDisc!I11,1))</f>
        <v/>
      </c>
      <c r="I24" s="122" t="str">
        <f>IF(PedBerMedDisc!C11&gt;1,PedBerMedDisc!H11,"")</f>
        <v/>
      </c>
      <c r="J24" s="123" t="str">
        <f>IF(PedBerMedDisc!C11&gt;1,PedBerMedDisc!F11,"")</f>
        <v/>
      </c>
      <c r="K24" s="124">
        <f>PedBerMedDisc!L11</f>
        <v>0</v>
      </c>
      <c r="L24" s="117" t="str">
        <f>IF(AND(PedBerMedDisc!C11&gt;1,PedBerMedDisc!O11&gt;1,H23&lt;&gt;"STOP"),PedBerMedDisc!N11,"")</f>
        <v/>
      </c>
      <c r="M24" s="117" t="str">
        <f>IF(AND(PedBerMedDisc!C11&gt;1,L23&lt;&gt;0,PedBerMedDisc!O11&gt;1,H23&lt;&gt;"STOP"),"ml","")</f>
        <v/>
      </c>
      <c r="N24" s="117"/>
      <c r="O24" s="117" t="str">
        <f>IF(AND(L23&lt;&gt;"",PedBerMedDisc!Q11&gt;0,H23&lt;&gt;"STOP"),PedBerMedDisc!Q11&amp;" min","")</f>
        <v/>
      </c>
      <c r="P24" s="117"/>
      <c r="Q24" s="117"/>
      <c r="R24" s="117"/>
      <c r="S24" s="117"/>
      <c r="T24" s="117"/>
      <c r="U24" s="117"/>
      <c r="V24" s="117"/>
    </row>
    <row r="25" spans="1:22" s="246" customFormat="1" ht="19.55" customHeight="1" x14ac:dyDescent="0.35">
      <c r="A25" s="117"/>
      <c r="B25" s="125" t="s">
        <v>315</v>
      </c>
      <c r="C25" s="126"/>
      <c r="D25" s="128">
        <f>GlobBerOpm!C16</f>
        <v>0</v>
      </c>
      <c r="E25" s="128"/>
      <c r="F25" s="128"/>
      <c r="G25" s="128"/>
      <c r="H25" s="127" t="str">
        <f>IF(AND(PedBerMedDisc!C11&gt;1,H23&lt;&gt;"STOP"),"Dosering/kg/dag: ","")</f>
        <v/>
      </c>
      <c r="I25" s="126"/>
      <c r="J25" s="128" t="str">
        <f>IF(PedBerMedDisc!C11&gt;1,PedBerMedDisc!M11,"")</f>
        <v/>
      </c>
      <c r="K25" s="126" t="str">
        <f>IF(AND(PedBerMedDisc!C11&gt;1,H24&lt;&gt;"STOP"),J24&amp;"/kg/dag ","")</f>
        <v/>
      </c>
      <c r="L25" s="126"/>
      <c r="M25" s="126" t="str">
        <f>IF(AND(PedBerMedDisc!C11&gt;1,PedBerMedDisc!O11&gt;1,PedBerMedDisc!N11&gt;0,H23&lt;&gt;"STOP"),"Oplossing:","")</f>
        <v/>
      </c>
      <c r="N25" s="126" t="str">
        <f>IF(AND(PedBerMedDisc!C11&gt;1,PedBerMedDisc!O11&gt;1,PedBerMedDisc!N11&gt;0,H23&lt;&gt;"STOP"),ROUND(PedBerMedDisc!H11/PedBerMedDisc!N11,2)&amp;" "&amp;PedBerMedDisc!F11&amp;"/ml","")</f>
        <v/>
      </c>
      <c r="O25" s="126"/>
      <c r="P25" s="126"/>
      <c r="Q25" s="117"/>
      <c r="R25" s="117"/>
      <c r="S25" s="117"/>
      <c r="T25" s="117"/>
      <c r="U25" s="117"/>
      <c r="V25" s="117"/>
    </row>
    <row r="26" spans="1:22" s="246" customFormat="1" ht="19.55" customHeight="1" x14ac:dyDescent="0.4">
      <c r="A26" s="117"/>
      <c r="B26" s="119">
        <v>11</v>
      </c>
      <c r="C26" s="120"/>
      <c r="D26" s="868">
        <f>PedBerMedDisc!C12</f>
        <v>0</v>
      </c>
      <c r="E26" s="868"/>
      <c r="F26" s="868"/>
      <c r="G26" s="868"/>
      <c r="H26" s="121" t="str">
        <f>IF(INDEX(tblMedDiscTijdenValues,PedBerMedDisc!I12,1)=0,"",INDEX(tblMedDiscTijdenValues,PedBerMedDisc!I12,1))</f>
        <v/>
      </c>
      <c r="I26" s="122" t="str">
        <f>IF(PedBerMedDisc!C12&gt;1,PedBerMedDisc!H12,"")</f>
        <v/>
      </c>
      <c r="J26" s="123" t="str">
        <f>IF(PedBerMedDisc!C12&gt;1,PedBerMedDisc!F12,"")</f>
        <v/>
      </c>
      <c r="K26" s="124">
        <f>PedBerMedDisc!L12</f>
        <v>0</v>
      </c>
      <c r="L26" s="117" t="str">
        <f>IF(AND(PedBerMedDisc!C12&gt;1,PedBerMedDisc!O12&gt;1,H26&lt;&gt;"STOP"),PedBerMedDisc!N12,"")</f>
        <v/>
      </c>
      <c r="M26" s="117" t="str">
        <f>IF(AND(PedBerMedDisc!C12&gt;1,L26&lt;&gt;0,PedBerMedDisc!O12&gt;1,H26&lt;&gt;"STOP"),"ml","")</f>
        <v/>
      </c>
      <c r="N26" s="117"/>
      <c r="O26" s="117" t="str">
        <f>IF(AND(L26&lt;&gt;"",PedBerMedDisc!Q12&gt;0,H26&lt;&gt;"STOP"),PedBerMedDisc!Q12&amp;" min","")</f>
        <v/>
      </c>
      <c r="P26" s="117"/>
      <c r="Q26" s="117"/>
      <c r="R26" s="117"/>
      <c r="S26" s="117"/>
      <c r="T26" s="117"/>
      <c r="U26" s="117"/>
      <c r="V26" s="117"/>
    </row>
    <row r="27" spans="1:22" s="246" customFormat="1" ht="19.55" customHeight="1" x14ac:dyDescent="0.35">
      <c r="A27" s="117"/>
      <c r="B27" s="125" t="s">
        <v>315</v>
      </c>
      <c r="C27" s="126"/>
      <c r="D27" s="128">
        <f>GlobBerOpm!C17</f>
        <v>0</v>
      </c>
      <c r="E27" s="128"/>
      <c r="F27" s="128"/>
      <c r="G27" s="128"/>
      <c r="H27" s="127" t="str">
        <f>IF(AND(PedBerMedDisc!C12&gt;1,H26&lt;&gt;"STOP"),"Dosering/kg/dag: ","")</f>
        <v/>
      </c>
      <c r="I27" s="126"/>
      <c r="J27" s="128" t="str">
        <f>IF(PedBerMedDisc!C12&gt;1,PedBerMedDisc!M12,"")</f>
        <v/>
      </c>
      <c r="K27" s="126" t="str">
        <f>IF(AND(PedBerMedDisc!C12&gt;1,H26&lt;&gt;"STOP"),J26&amp;"/kg/dag ","")</f>
        <v/>
      </c>
      <c r="L27" s="126"/>
      <c r="M27" s="126" t="str">
        <f>IF(AND(PedBerMedDisc!C12&gt;1,PedBerMedDisc!O12&gt;1,PedBerMedDisc!N12&gt;0,H26&lt;&gt;"STOP"),"Oplossing:","")</f>
        <v/>
      </c>
      <c r="N27" s="126" t="str">
        <f>IF(AND(PedBerMedDisc!C12&gt;1,PedBerMedDisc!O12&gt;1,PedBerMedDisc!N12&gt;0,H26&lt;&gt;"STOP"),ROUND(PedBerMedDisc!H12/PedBerMedDisc!N12,2)&amp;" "&amp;PedBerMedDisc!F12&amp;"/ml","")</f>
        <v/>
      </c>
      <c r="O27" s="126"/>
      <c r="P27" s="126"/>
      <c r="Q27" s="117"/>
      <c r="R27" s="117"/>
      <c r="S27" s="117"/>
      <c r="T27" s="117"/>
      <c r="U27" s="117"/>
      <c r="V27" s="117"/>
    </row>
    <row r="28" spans="1:22" s="246" customFormat="1" ht="19.55" customHeight="1" x14ac:dyDescent="0.4">
      <c r="A28" s="117"/>
      <c r="B28" s="119">
        <v>12</v>
      </c>
      <c r="C28" s="120"/>
      <c r="D28" s="868">
        <f>PedBerMedDisc!C13</f>
        <v>0</v>
      </c>
      <c r="E28" s="868"/>
      <c r="F28" s="868"/>
      <c r="G28" s="868"/>
      <c r="H28" s="121" t="str">
        <f>IF(INDEX(tblMedDiscTijdenValues,PedBerMedDisc!I13,1)=0,"",INDEX(tblMedDiscTijdenValues,PedBerMedDisc!I13,1))</f>
        <v/>
      </c>
      <c r="I28" s="122" t="str">
        <f>IF(PedBerMedDisc!C13&gt;1,PedBerMedDisc!H13,"")</f>
        <v/>
      </c>
      <c r="J28" s="123" t="str">
        <f>IF(PedBerMedDisc!C13&gt;1,PedBerMedDisc!F13,"")</f>
        <v/>
      </c>
      <c r="K28" s="124">
        <f>PedBerMedDisc!L13</f>
        <v>0</v>
      </c>
      <c r="L28" s="117" t="str">
        <f>IF(AND(PedBerMedDisc!C13&gt;1,PedBerMedDisc!O13&gt;1,H28&lt;&gt;"STOP"),PedBerMedDisc!N13,"")</f>
        <v/>
      </c>
      <c r="M28" s="117" t="str">
        <f>IF(AND(PedBerMedDisc!C13&gt;1,L28&lt;&gt;0,PedBerMedDisc!O13&gt;1,H28&lt;&gt;"STOP"),"ml","")</f>
        <v/>
      </c>
      <c r="N28" s="117"/>
      <c r="O28" s="117" t="str">
        <f>IF(AND(L28&lt;&gt;"",PedBerMedDisc!Q13&gt;0,H28&lt;&gt;"STOP"),PedBerMedDisc!Q13&amp;" min","")</f>
        <v/>
      </c>
      <c r="P28" s="117"/>
      <c r="Q28" s="117"/>
      <c r="R28" s="117"/>
      <c r="S28" s="117"/>
      <c r="T28" s="117"/>
      <c r="U28" s="117"/>
      <c r="V28" s="117"/>
    </row>
    <row r="29" spans="1:22" s="246" customFormat="1" ht="19.55" customHeight="1" x14ac:dyDescent="0.35">
      <c r="A29" s="117"/>
      <c r="B29" s="125" t="s">
        <v>315</v>
      </c>
      <c r="C29" s="126"/>
      <c r="D29" s="128">
        <f>GlobBerOpm!C18</f>
        <v>0</v>
      </c>
      <c r="E29" s="128"/>
      <c r="F29" s="128"/>
      <c r="G29" s="128"/>
      <c r="H29" s="127" t="str">
        <f>IF(AND(PedBerMedDisc!C13&gt;1,H28&lt;&gt;"STOP"),"Dosering/kg/dag: ","")</f>
        <v/>
      </c>
      <c r="I29" s="126"/>
      <c r="J29" s="128" t="str">
        <f>IF(PedBerMedDisc!C13&gt;1,PedBerMedDisc!M13,"")</f>
        <v/>
      </c>
      <c r="K29" s="126" t="str">
        <f>IF(AND(PedBerMedDisc!C13&gt;1,H28&lt;&gt;"STOP"),J28&amp;"/kg/dag ","")</f>
        <v/>
      </c>
      <c r="L29" s="126"/>
      <c r="M29" s="126" t="str">
        <f>IF(AND(PedBerMedDisc!C13&gt;1,PedBerMedDisc!O13&gt;1,PedBerMedDisc!N13&gt;0,H28&lt;&gt;"STOP"),"Oplossing:","")</f>
        <v/>
      </c>
      <c r="N29" s="126" t="str">
        <f>IF(AND(PedBerMedDisc!C13&gt;1,PedBerMedDisc!O13&gt;1,PedBerMedDisc!N13&gt;0,H28&lt;&gt;"STOP"),ROUND(PedBerMedDisc!H13/PedBerMedDisc!N13,2)&amp;" "&amp;PedBerMedDisc!F13&amp;"/ml","")</f>
        <v/>
      </c>
      <c r="O29" s="126"/>
      <c r="P29" s="126"/>
      <c r="Q29" s="117"/>
      <c r="R29" s="117"/>
      <c r="S29" s="117"/>
      <c r="T29" s="117"/>
      <c r="U29" s="117"/>
      <c r="V29" s="117"/>
    </row>
    <row r="30" spans="1:22" s="246" customFormat="1" ht="19.55" customHeight="1" x14ac:dyDescent="0.4">
      <c r="A30" s="117"/>
      <c r="B30" s="119">
        <v>13</v>
      </c>
      <c r="C30" s="120"/>
      <c r="D30" s="868">
        <f>PedBerMedDisc!C14</f>
        <v>0</v>
      </c>
      <c r="E30" s="868"/>
      <c r="F30" s="868"/>
      <c r="G30" s="868"/>
      <c r="H30" s="121" t="str">
        <f>IF(INDEX(tblMedDiscTijdenValues,PedBerMedDisc!I14,1)=0,"",INDEX(tblMedDiscTijdenValues,PedBerMedDisc!I14,1))</f>
        <v/>
      </c>
      <c r="I30" s="122" t="str">
        <f>IF(PedBerMedDisc!C14&gt;1,PedBerMedDisc!H14,"")</f>
        <v/>
      </c>
      <c r="J30" s="123" t="str">
        <f>IF(PedBerMedDisc!C14&gt;1,PedBerMedDisc!F14,"")</f>
        <v/>
      </c>
      <c r="K30" s="124">
        <f>PedBerMedDisc!L14</f>
        <v>0</v>
      </c>
      <c r="L30" s="117" t="str">
        <f>IF(AND(PedBerMedDisc!C14&gt;1,PedBerMedDisc!O14&gt;1,H30&lt;&gt;"STOP"),PedBerMedDisc!N14,"")</f>
        <v/>
      </c>
      <c r="M30" s="117" t="str">
        <f>IF(AND(PedBerMedDisc!C14&gt;1,L30&lt;&gt;0,PedBerMedDisc!O14&gt;1,H30&lt;&gt;"STOP"),"ml","")</f>
        <v/>
      </c>
      <c r="N30" s="117"/>
      <c r="O30" s="117" t="str">
        <f>IF(AND(L30&lt;&gt;"",PedBerMedDisc!Q14&gt;0,H30&lt;&gt;"STOP"),PedBerMedDisc!Q14&amp;" min","")</f>
        <v/>
      </c>
      <c r="P30" s="117"/>
      <c r="Q30" s="117"/>
      <c r="R30" s="117"/>
      <c r="S30" s="117"/>
      <c r="T30" s="117"/>
      <c r="U30" s="117"/>
      <c r="V30" s="117"/>
    </row>
    <row r="31" spans="1:22" s="246" customFormat="1" ht="19.55" customHeight="1" x14ac:dyDescent="0.35">
      <c r="A31" s="117"/>
      <c r="B31" s="125" t="s">
        <v>315</v>
      </c>
      <c r="C31" s="126"/>
      <c r="D31" s="128">
        <f>GlobBerOpm!C19</f>
        <v>0</v>
      </c>
      <c r="E31" s="128"/>
      <c r="F31" s="128"/>
      <c r="G31" s="128"/>
      <c r="H31" s="127" t="str">
        <f>IF(AND(PedBerMedDisc!C14&gt;1,H30&lt;&gt;"STOP"),"Dosering/kg/dag: ","")</f>
        <v/>
      </c>
      <c r="I31" s="126"/>
      <c r="J31" s="128" t="str">
        <f>IF(PedBerMedDisc!C14&gt;1,PedBerMedDisc!M14,"")</f>
        <v/>
      </c>
      <c r="K31" s="126" t="str">
        <f>IF(AND(PedBerMedDisc!C14&gt;1,H30&lt;&gt;"STOP"),J30&amp;"/kg/dag ","")</f>
        <v/>
      </c>
      <c r="L31" s="126"/>
      <c r="M31" s="126" t="str">
        <f>IF(AND(PedBerMedDisc!C14&gt;1,PedBerMedDisc!O14&gt;1,PedBerMedDisc!N14&gt;0,H30&lt;&gt;"STOP"),"Oplossing:","")</f>
        <v/>
      </c>
      <c r="N31" s="126" t="str">
        <f>IF(AND(PedBerMedDisc!C14&gt;1,PedBerMedDisc!O14&gt;1,PedBerMedDisc!N14&gt;0,H30&lt;&gt;"STOP"),ROUND(PedBerMedDisc!H14/PedBerMedDisc!N14,2)&amp;" "&amp;PedBerMedDisc!F14&amp;"/ml","")</f>
        <v/>
      </c>
      <c r="O31" s="126"/>
      <c r="P31" s="126"/>
      <c r="Q31" s="117"/>
      <c r="R31" s="117"/>
      <c r="S31" s="117"/>
      <c r="T31" s="117"/>
      <c r="U31" s="117"/>
      <c r="V31" s="117"/>
    </row>
    <row r="32" spans="1:22" s="246" customFormat="1" ht="19.55" customHeight="1" x14ac:dyDescent="0.4">
      <c r="A32" s="117"/>
      <c r="B32" s="119">
        <v>14</v>
      </c>
      <c r="C32" s="120"/>
      <c r="D32" s="868">
        <f>PedBerMedDisc!C15</f>
        <v>0</v>
      </c>
      <c r="E32" s="868"/>
      <c r="F32" s="868"/>
      <c r="G32" s="868"/>
      <c r="H32" s="121" t="str">
        <f>IF(INDEX(tblMedDiscTijdenValues,PedBerMedDisc!I15,1)=0,"",INDEX(tblMedDiscTijdenValues,PedBerMedDisc!I15,1))</f>
        <v/>
      </c>
      <c r="I32" s="122" t="str">
        <f>IF(PedBerMedDisc!C15&gt;1,PedBerMedDisc!H15,"")</f>
        <v/>
      </c>
      <c r="J32" s="123" t="str">
        <f>IF(PedBerMedDisc!C15&gt;1,PedBerMedDisc!F15,"")</f>
        <v/>
      </c>
      <c r="K32" s="124">
        <f>PedBerMedDisc!L15</f>
        <v>0</v>
      </c>
      <c r="L32" s="117" t="str">
        <f>IF(AND(PedBerMedDisc!C15&gt;1,PedBerMedDisc!O15&gt;1,H32&lt;&gt;"STOP"),PedBerMedDisc!N15,"")</f>
        <v/>
      </c>
      <c r="M32" s="117" t="str">
        <f>IF(AND(PedBerMedDisc!C15&gt;1,L32&lt;&gt;0,PedBerMedDisc!O15&gt;1,H32&lt;&gt;"STOP"),"ml","")</f>
        <v/>
      </c>
      <c r="N32" s="117"/>
      <c r="O32" s="117" t="str">
        <f>IF(AND(L32&lt;&gt;"",PedBerMedDisc!Q15&gt;0,H32&lt;&gt;"STOP"),PedBerMedDisc!Q15&amp;" min","")</f>
        <v/>
      </c>
      <c r="P32" s="117"/>
      <c r="Q32" s="117"/>
      <c r="R32" s="117"/>
      <c r="S32" s="117"/>
      <c r="T32" s="117"/>
      <c r="U32" s="117"/>
      <c r="V32" s="117"/>
    </row>
    <row r="33" spans="1:22" s="246" customFormat="1" ht="19.55" customHeight="1" x14ac:dyDescent="0.35">
      <c r="A33" s="117"/>
      <c r="B33" s="125" t="s">
        <v>315</v>
      </c>
      <c r="C33" s="126"/>
      <c r="D33" s="128">
        <f>GlobBerOpm!C20</f>
        <v>0</v>
      </c>
      <c r="E33" s="128"/>
      <c r="F33" s="128"/>
      <c r="G33" s="128"/>
      <c r="H33" s="127" t="str">
        <f>IF(AND(PedBerMedDisc!C15&gt;1,H32&lt;&gt;"STOP"),"Dosering/kg/dag: ","")</f>
        <v/>
      </c>
      <c r="I33" s="126"/>
      <c r="J33" s="128" t="str">
        <f>IF(PedBerMedDisc!C15&gt;1,PedBerMedDisc!M15,"")</f>
        <v/>
      </c>
      <c r="K33" s="126" t="str">
        <f>IF(AND(PedBerMedDisc!C15&gt;1,H32&lt;&gt;"STOP"),J32&amp;"/kg/dag ","")</f>
        <v/>
      </c>
      <c r="L33" s="126"/>
      <c r="M33" s="126" t="str">
        <f>IF(AND(PedBerMedDisc!C15&gt;1,PedBerMedDisc!O15&gt;1,PedBerMedDisc!N15&gt;0,H32&lt;&gt;"STOP"),"Oplossing:","")</f>
        <v/>
      </c>
      <c r="N33" s="126" t="str">
        <f>IF(AND(PedBerMedDisc!C15&gt;1,PedBerMedDisc!O15&gt;1,PedBerMedDisc!N15&gt;0,H32&lt;&gt;"STOP"),ROUND(PedBerMedDisc!H15/PedBerMedDisc!N15,2)&amp;" "&amp;PedBerMedDisc!F15&amp;"/ml","")</f>
        <v/>
      </c>
      <c r="O33" s="126"/>
      <c r="P33" s="126"/>
      <c r="Q33" s="117"/>
      <c r="R33" s="117"/>
      <c r="S33" s="117"/>
      <c r="T33" s="117"/>
      <c r="U33" s="117"/>
      <c r="V33" s="117"/>
    </row>
    <row r="34" spans="1:22" s="246" customFormat="1" ht="19.55" customHeight="1" x14ac:dyDescent="0.4">
      <c r="A34" s="117"/>
      <c r="B34" s="119">
        <v>15</v>
      </c>
      <c r="C34" s="120"/>
      <c r="D34" s="868">
        <f>PedBerMedDisc!C16</f>
        <v>0</v>
      </c>
      <c r="E34" s="868"/>
      <c r="F34" s="868"/>
      <c r="G34" s="868"/>
      <c r="H34" s="121" t="str">
        <f>IF(INDEX(tblMedDiscTijdenValues,PedBerMedDisc!I16,1)=0,"",INDEX(tblMedDiscTijdenValues,PedBerMedDisc!I16,1))</f>
        <v/>
      </c>
      <c r="I34" s="122" t="str">
        <f>IF(PedBerMedDisc!C16&gt;1,PedBerMedDisc!H16,"")</f>
        <v/>
      </c>
      <c r="J34" s="123" t="str">
        <f>IF(PedBerMedDisc!C16&gt;1,PedBerMedDisc!F16,"")</f>
        <v/>
      </c>
      <c r="K34" s="124">
        <f>PedBerMedDisc!L16</f>
        <v>0</v>
      </c>
      <c r="L34" s="117" t="str">
        <f>IF(AND(PedBerMedDisc!C16&gt;1,PedBerMedDisc!O16&gt;1,H34&lt;&gt;"STOP"),PedBerMedDisc!N16,"")</f>
        <v/>
      </c>
      <c r="M34" s="117" t="str">
        <f>IF(AND(PedBerMedDisc!C16&gt;1,L34&lt;&gt;0,PedBerMedDisc!O16&gt;1,H34&lt;&gt;"STOP"),"ml","")</f>
        <v/>
      </c>
      <c r="N34" s="117"/>
      <c r="O34" s="117" t="str">
        <f>IF(AND(L34&lt;&gt;"",PedBerMedDisc!Q16&gt;0,H34&lt;&gt;"STOP"),PedBerMedDisc!Q16&amp;" min","")</f>
        <v/>
      </c>
      <c r="P34" s="117"/>
      <c r="Q34" s="117"/>
      <c r="R34" s="117"/>
      <c r="S34" s="117"/>
      <c r="T34" s="117"/>
      <c r="U34" s="117"/>
      <c r="V34" s="117"/>
    </row>
    <row r="35" spans="1:22" s="246" customFormat="1" ht="19.55" customHeight="1" x14ac:dyDescent="0.35">
      <c r="A35" s="117"/>
      <c r="B35" s="125" t="s">
        <v>315</v>
      </c>
      <c r="C35" s="126"/>
      <c r="D35" s="128">
        <f>GlobBerOpm!C21</f>
        <v>0</v>
      </c>
      <c r="E35" s="128"/>
      <c r="F35" s="128"/>
      <c r="G35" s="128"/>
      <c r="H35" s="127" t="str">
        <f>IF(AND(PedBerMedDisc!C16&gt;1,H34&lt;&gt;"STOP"),"Dosering/kg/dag: ","")</f>
        <v/>
      </c>
      <c r="I35" s="126"/>
      <c r="J35" s="128" t="str">
        <f>IF(PedBerMedDisc!C16&gt;1,PedBerMedDisc!M16,"")</f>
        <v/>
      </c>
      <c r="K35" s="126" t="str">
        <f>IF(AND(PedBerMedDisc!C16&gt;1,H34&lt;&gt;"STOP"),J34&amp;"/kg/dag ","")</f>
        <v/>
      </c>
      <c r="L35" s="126"/>
      <c r="M35" s="126" t="str">
        <f>IF(AND(PedBerMedDisc!C16&gt;1,PedBerMedDisc!O16&gt;1,PedBerMedDisc!N16&gt;0,H34&lt;&gt;"STOP"),"Oplossing:","")</f>
        <v/>
      </c>
      <c r="N35" s="126" t="str">
        <f>IF(AND(PedBerMedDisc!C16&gt;1,PedBerMedDisc!O16&gt;1,PedBerMedDisc!N16&gt;0,H34&lt;&gt;"STOP"),ROUND(PedBerMedDisc!H16/PedBerMedDisc!N16,2)&amp;" "&amp;PedBerMedDisc!F16&amp;"/ml","")</f>
        <v/>
      </c>
      <c r="O35" s="126"/>
      <c r="P35" s="126"/>
      <c r="Q35" s="117"/>
      <c r="R35" s="117"/>
      <c r="S35" s="117"/>
      <c r="T35" s="117"/>
      <c r="U35" s="117"/>
      <c r="V35" s="117"/>
    </row>
    <row r="36" spans="1:22" s="246" customFormat="1" ht="19.55" customHeight="1" x14ac:dyDescent="0.4">
      <c r="A36" s="117"/>
      <c r="B36" s="119">
        <v>16</v>
      </c>
      <c r="C36" s="120"/>
      <c r="D36" s="868">
        <f>PedBerMedDisc!C17</f>
        <v>0</v>
      </c>
      <c r="E36" s="868"/>
      <c r="F36" s="868"/>
      <c r="G36" s="868"/>
      <c r="H36" s="121" t="str">
        <f>IF(INDEX(tblMedDiscTijdenValues,PedBerMedDisc!I17,1)=0,"",INDEX(tblMedDiscTijdenValues,PedBerMedDisc!I17,1))</f>
        <v/>
      </c>
      <c r="I36" s="122" t="str">
        <f>IF(PedBerMedDisc!C17&gt;1,PedBerMedDisc!H17,"")</f>
        <v/>
      </c>
      <c r="J36" s="123" t="str">
        <f>IF(PedBerMedDisc!C17&gt;1,PedBerMedDisc!F17,"")</f>
        <v/>
      </c>
      <c r="K36" s="124">
        <f>PedBerMedDisc!L17</f>
        <v>0</v>
      </c>
      <c r="L36" s="117" t="str">
        <f>IF(AND(PedBerMedDisc!C17&gt;1,PedBerMedDisc!O17&gt;1),PedBerMedDisc!N17,"")</f>
        <v/>
      </c>
      <c r="M36" s="117" t="str">
        <f>IF(AND(PedBerMedDisc!C17&gt;1,L36&lt;&gt;0,PedBerMedDisc!O17&gt;1),"ml","")</f>
        <v/>
      </c>
      <c r="N36" s="117"/>
      <c r="O36" s="117" t="str">
        <f>IF(AND(L36&lt;&gt;"",PedBerMedDisc!Q17&gt;0),PedBerMedDisc!Q17&amp;" min","")</f>
        <v/>
      </c>
      <c r="P36" s="117"/>
      <c r="Q36" s="117"/>
      <c r="R36" s="117"/>
      <c r="S36" s="117"/>
      <c r="T36" s="117"/>
      <c r="U36" s="117"/>
      <c r="V36" s="117"/>
    </row>
    <row r="37" spans="1:22" s="246" customFormat="1" ht="19.55" customHeight="1" x14ac:dyDescent="0.35">
      <c r="A37" s="117"/>
      <c r="B37" s="125" t="s">
        <v>315</v>
      </c>
      <c r="C37" s="126"/>
      <c r="D37" s="128">
        <f>GlobBerOpm!C22</f>
        <v>0</v>
      </c>
      <c r="E37" s="128"/>
      <c r="F37" s="128"/>
      <c r="G37" s="128"/>
      <c r="H37" s="127" t="str">
        <f>IF(PedBerMedDisc!C17&gt;1,"Dosering/kg/dag: ","")</f>
        <v/>
      </c>
      <c r="I37" s="126"/>
      <c r="J37" s="128" t="str">
        <f>IF(PedBerMedDisc!C17&gt;1,PedBerMedDisc!M17,"")</f>
        <v/>
      </c>
      <c r="K37" s="126" t="str">
        <f>IF(AND(PedBerMedDisc!C17&gt;1,H36&lt;&gt;"STOP"),J36&amp;"/kg/dag ","")</f>
        <v/>
      </c>
      <c r="L37" s="126"/>
      <c r="M37" s="126" t="str">
        <f>IF(AND(PedBerMedDisc!C17&gt;1,PedBerMedDisc!O17&gt;1,PedBerMedDisc!N17&gt;0),"Oplossing:","")</f>
        <v/>
      </c>
      <c r="N37" s="126" t="str">
        <f>IF(AND(PedBerMedDisc!C17&gt;1,PedBerMedDisc!O17&gt;1,PedBerMedDisc!N17&gt;0),ROUND(PedBerMedDisc!H17/PedBerMedDisc!N17,2)&amp;" "&amp;PedBerMedDisc!F17&amp;"/ml","")</f>
        <v/>
      </c>
      <c r="O37" s="126"/>
      <c r="P37" s="126"/>
      <c r="Q37" s="117"/>
      <c r="R37" s="117"/>
      <c r="S37" s="117"/>
      <c r="T37" s="117"/>
      <c r="U37" s="117"/>
      <c r="V37" s="117"/>
    </row>
    <row r="38" spans="1:22" s="246" customFormat="1" ht="19.55" customHeight="1" x14ac:dyDescent="0.4">
      <c r="A38" s="117"/>
      <c r="B38" s="119">
        <v>17</v>
      </c>
      <c r="C38" s="120"/>
      <c r="D38" s="868">
        <f>PedBerMedDisc!C18</f>
        <v>0</v>
      </c>
      <c r="E38" s="868"/>
      <c r="F38" s="868"/>
      <c r="G38" s="868"/>
      <c r="H38" s="121" t="str">
        <f>IF(INDEX(tblMedDiscTijdenValues,PedBerMedDisc!I18,1)=0,"",INDEX(tblMedDiscTijdenValues,PedBerMedDisc!I18,1))</f>
        <v/>
      </c>
      <c r="I38" s="122" t="str">
        <f>IF(PedBerMedDisc!C18&gt;1,PedBerMedDisc!H18,"")</f>
        <v/>
      </c>
      <c r="J38" s="123" t="str">
        <f>IF(PedBerMedDisc!C18&gt;1,PedBerMedDisc!F18,"")</f>
        <v/>
      </c>
      <c r="K38" s="124">
        <f>PedBerMedDisc!L18</f>
        <v>0</v>
      </c>
      <c r="L38" s="117" t="str">
        <f>IF(AND(PedBerMedDisc!C18&gt;1,PedBerMedDisc!O18&gt;1),PedBerMedDisc!N18,"")</f>
        <v/>
      </c>
      <c r="M38" s="117" t="str">
        <f>IF(AND(PedBerMedDisc!C18&gt;1,L38&lt;&gt;0,PedBerMedDisc!O18&gt;1),"ml","")</f>
        <v/>
      </c>
      <c r="N38" s="117"/>
      <c r="O38" s="117" t="str">
        <f>IF(AND(L38&lt;&gt;"",PedBerMedDisc!Q18&gt;0),PedBerMedDisc!Q18&amp;" min","")</f>
        <v/>
      </c>
      <c r="P38" s="117"/>
      <c r="Q38" s="117"/>
      <c r="R38" s="117"/>
      <c r="S38" s="117"/>
      <c r="T38" s="117"/>
      <c r="U38" s="117"/>
      <c r="V38" s="117"/>
    </row>
    <row r="39" spans="1:22" s="246" customFormat="1" ht="19.55" customHeight="1" x14ac:dyDescent="0.35">
      <c r="A39" s="117"/>
      <c r="B39" s="125" t="s">
        <v>315</v>
      </c>
      <c r="C39" s="126"/>
      <c r="D39" s="128">
        <f>GlobBerOpm!C23</f>
        <v>0</v>
      </c>
      <c r="E39" s="128"/>
      <c r="F39" s="128"/>
      <c r="G39" s="128"/>
      <c r="H39" s="127" t="str">
        <f>IF(PedBerMedDisc!C18&gt;1,"Dosering/kg/dag: ","")</f>
        <v/>
      </c>
      <c r="I39" s="126"/>
      <c r="J39" s="128" t="str">
        <f>IF(PedBerMedDisc!C18&gt;1,PedBerMedDisc!M18,"")</f>
        <v/>
      </c>
      <c r="K39" s="126" t="str">
        <f>IF(AND(PedBerMedDisc!C18&gt;1,H38&lt;&gt;"STOP"),J38&amp;"/kg/dag ","")</f>
        <v/>
      </c>
      <c r="L39" s="126"/>
      <c r="M39" s="126" t="str">
        <f>IF(AND(PedBerMedDisc!C18&gt;1,PedBerMedDisc!O18&gt;1,PedBerMedDisc!N18&gt;0),"Oplossing:","")</f>
        <v/>
      </c>
      <c r="N39" s="126" t="str">
        <f>IF(AND(PedBerMedDisc!C18&gt;1,PedBerMedDisc!O18&gt;1,PedBerMedDisc!N18&gt;0),ROUND(PedBerMedDisc!H18/PedBerMedDisc!N18,2)&amp;" "&amp;PedBerMedDisc!F18&amp;"/ml","")</f>
        <v/>
      </c>
      <c r="O39" s="126"/>
      <c r="P39" s="126"/>
      <c r="Q39" s="117"/>
      <c r="R39" s="117"/>
      <c r="S39" s="117"/>
      <c r="T39" s="117"/>
      <c r="U39" s="117"/>
      <c r="V39" s="117"/>
    </row>
    <row r="40" spans="1:22" s="246" customFormat="1" ht="19.55" customHeight="1" x14ac:dyDescent="0.4">
      <c r="A40" s="117"/>
      <c r="B40" s="119">
        <v>18</v>
      </c>
      <c r="C40" s="120"/>
      <c r="D40" s="868">
        <f>PedBerMedDisc!C19</f>
        <v>0</v>
      </c>
      <c r="E40" s="868"/>
      <c r="F40" s="868"/>
      <c r="G40" s="868"/>
      <c r="H40" s="121" t="str">
        <f>IF(INDEX(tblMedDiscTijdenValues,PedBerMedDisc!I19,1)=0,"",INDEX(tblMedDiscTijdenValues,PedBerMedDisc!I19,1))</f>
        <v/>
      </c>
      <c r="I40" s="122" t="str">
        <f>IF(PedBerMedDisc!C19&gt;1,PedBerMedDisc!H19,"")</f>
        <v/>
      </c>
      <c r="J40" s="123" t="str">
        <f>IF(PedBerMedDisc!C19&gt;1,PedBerMedDisc!F19,"")</f>
        <v/>
      </c>
      <c r="K40" s="124">
        <f>PedBerMedDisc!L19</f>
        <v>0</v>
      </c>
      <c r="L40" s="117" t="str">
        <f>IF(AND(PedBerMedDisc!C19&gt;1,PedBerMedDisc!O19&gt;1),PedBerMedDisc!N19,"")</f>
        <v/>
      </c>
      <c r="M40" s="117" t="str">
        <f>IF(AND(PedBerMedDisc!C19&gt;1,L40&lt;&gt;0,PedBerMedDisc!O19&gt;1),"ml","")</f>
        <v/>
      </c>
      <c r="N40" s="117"/>
      <c r="O40" s="117" t="str">
        <f>IF(AND(L40&lt;&gt;"",PedBerMedDisc!Q19&gt;0),PedBerMedDisc!Q19&amp;" min","")</f>
        <v/>
      </c>
      <c r="P40" s="117"/>
      <c r="Q40" s="117"/>
      <c r="R40" s="117"/>
      <c r="S40" s="117"/>
      <c r="T40" s="117"/>
      <c r="U40" s="117"/>
      <c r="V40" s="117"/>
    </row>
    <row r="41" spans="1:22" s="246" customFormat="1" ht="19.55" customHeight="1" x14ac:dyDescent="0.35">
      <c r="A41" s="117"/>
      <c r="B41" s="125" t="s">
        <v>315</v>
      </c>
      <c r="C41" s="126"/>
      <c r="D41" s="128">
        <f>GlobBerOpm!C24</f>
        <v>0</v>
      </c>
      <c r="E41" s="128"/>
      <c r="F41" s="128"/>
      <c r="G41" s="128"/>
      <c r="H41" s="127" t="str">
        <f>IF(PedBerMedDisc!C19&gt;1,"Dosering/kg/dag: ","")</f>
        <v/>
      </c>
      <c r="I41" s="126"/>
      <c r="J41" s="128" t="str">
        <f>IF(PedBerMedDisc!C19&gt;1,PedBerMedDisc!M19,"")</f>
        <v/>
      </c>
      <c r="K41" s="126" t="str">
        <f>IF(AND(PedBerMedDisc!C19&gt;1,H40&lt;&gt;"STOP"),J40&amp;"/kg/dag ","")</f>
        <v/>
      </c>
      <c r="L41" s="126"/>
      <c r="M41" s="126" t="str">
        <f>IF(AND(PedBerMedDisc!C19&gt;1,PedBerMedDisc!O19&gt;1,PedBerMedDisc!N19&gt;0),"Oplossing:","")</f>
        <v/>
      </c>
      <c r="N41" s="126" t="str">
        <f>IF(AND(PedBerMedDisc!C19&gt;1,PedBerMedDisc!O19&gt;1,PedBerMedDisc!N19&gt;0),ROUND(PedBerMedDisc!H19/PedBerMedDisc!N19,2)&amp;" "&amp;PedBerMedDisc!F19&amp;"/ml","")</f>
        <v/>
      </c>
      <c r="O41" s="126"/>
      <c r="P41" s="126"/>
      <c r="Q41" s="117"/>
      <c r="R41" s="117"/>
      <c r="S41" s="117"/>
      <c r="T41" s="117"/>
      <c r="U41" s="117"/>
      <c r="V41" s="117"/>
    </row>
    <row r="42" spans="1:22" s="246" customFormat="1" ht="19.55" customHeight="1" x14ac:dyDescent="0.4">
      <c r="A42" s="117"/>
      <c r="B42" s="119">
        <v>19</v>
      </c>
      <c r="C42" s="120"/>
      <c r="D42" s="868">
        <f>PedBerMedDisc!C20</f>
        <v>0</v>
      </c>
      <c r="E42" s="868"/>
      <c r="F42" s="868"/>
      <c r="G42" s="868"/>
      <c r="H42" s="121" t="str">
        <f>IF(INDEX(tblMedDiscTijdenValues,PedBerMedDisc!I20,1)=0,"",INDEX(tblMedDiscTijdenValues,PedBerMedDisc!I20,1))</f>
        <v/>
      </c>
      <c r="I42" s="122" t="str">
        <f>IF(PedBerMedDisc!C20&gt;1,PedBerMedDisc!H20,"")</f>
        <v/>
      </c>
      <c r="J42" s="123" t="str">
        <f>IF(PedBerMedDisc!C20&gt;1,PedBerMedDisc!F20,"")</f>
        <v/>
      </c>
      <c r="K42" s="124">
        <f>PedBerMedDisc!L20</f>
        <v>0</v>
      </c>
      <c r="L42" s="117" t="str">
        <f>IF(AND(PedBerMedDisc!C20&gt;1,PedBerMedDisc!O20&gt;1),PedBerMedDisc!N20,"")</f>
        <v/>
      </c>
      <c r="M42" s="117" t="str">
        <f>IF(AND(PedBerMedDisc!C20&gt;1,L42&lt;&gt;0,PedBerMedDisc!O20&gt;1),"ml","")</f>
        <v/>
      </c>
      <c r="N42" s="117"/>
      <c r="O42" s="117" t="str">
        <f>IF(AND(L42&lt;&gt;"",PedBerMedDisc!Q20&gt;0),PedBerMedDisc!Q20&amp;" min","")</f>
        <v/>
      </c>
      <c r="P42" s="117"/>
      <c r="Q42" s="117"/>
      <c r="R42" s="117"/>
      <c r="S42" s="117"/>
      <c r="T42" s="117"/>
      <c r="U42" s="117"/>
      <c r="V42" s="117"/>
    </row>
    <row r="43" spans="1:22" s="246" customFormat="1" ht="19.55" customHeight="1" x14ac:dyDescent="0.35">
      <c r="A43" s="117"/>
      <c r="B43" s="125" t="s">
        <v>315</v>
      </c>
      <c r="C43" s="126"/>
      <c r="D43" s="128">
        <f>GlobBerOpm!C25</f>
        <v>0</v>
      </c>
      <c r="E43" s="128"/>
      <c r="F43" s="128"/>
      <c r="G43" s="128"/>
      <c r="H43" s="127" t="str">
        <f>IF(PedBerMedDisc!C20&gt;1,"Dosering/kg/dag: ","")</f>
        <v/>
      </c>
      <c r="I43" s="126"/>
      <c r="J43" s="128" t="str">
        <f>IF(PedBerMedDisc!C20&gt;1,PedBerMedDisc!M20,"")</f>
        <v/>
      </c>
      <c r="K43" s="126" t="str">
        <f>IF(AND(PedBerMedDisc!C20&gt;1,H42&lt;&gt;"STOP"),J42&amp;"/kg/dag ","")</f>
        <v/>
      </c>
      <c r="L43" s="126"/>
      <c r="M43" s="126" t="str">
        <f>IF(AND(PedBerMedDisc!C20&gt;1,PedBerMedDisc!O20&gt;1,PedBerMedDisc!N20&gt;0),"Oplossing:","")</f>
        <v/>
      </c>
      <c r="N43" s="126" t="str">
        <f>IF(AND(PedBerMedDisc!C20&gt;1,PedBerMedDisc!O20&gt;1,PedBerMedDisc!N20&gt;0),ROUND(PedBerMedDisc!H20/PedBerMedDisc!N20,2)&amp;" "&amp;PedBerMedDisc!F20&amp;"/ml","")</f>
        <v/>
      </c>
      <c r="O43" s="126"/>
      <c r="P43" s="126"/>
      <c r="Q43" s="117"/>
      <c r="R43" s="117"/>
      <c r="S43" s="117"/>
      <c r="T43" s="117"/>
      <c r="U43" s="117"/>
      <c r="V43" s="117"/>
    </row>
    <row r="44" spans="1:22" s="246" customFormat="1" ht="19.55" customHeight="1" x14ac:dyDescent="0.4">
      <c r="A44" s="117"/>
      <c r="B44" s="119">
        <v>20</v>
      </c>
      <c r="C44" s="130"/>
      <c r="D44" s="868">
        <f>PedBerMedDisc!C21</f>
        <v>0</v>
      </c>
      <c r="E44" s="868"/>
      <c r="F44" s="868"/>
      <c r="G44" s="868"/>
      <c r="H44" s="121" t="str">
        <f>IF(INDEX(tblMedDiscTijdenValues,PedBerMedDisc!I21,1)=0,"",INDEX(tblMedDiscTijdenValues,PedBerMedDisc!I21,1))</f>
        <v/>
      </c>
      <c r="I44" s="122" t="str">
        <f>IF(PedBerMedDisc!C21&gt;1,PedBerMedDisc!H21,"")</f>
        <v/>
      </c>
      <c r="J44" s="123" t="str">
        <f>IF(PedBerMedDisc!C21&gt;1,PedBerMedDisc!F21,"")</f>
        <v/>
      </c>
      <c r="K44" s="124">
        <f>PedBerMedDisc!L21</f>
        <v>0</v>
      </c>
      <c r="L44" s="117" t="str">
        <f>IF(AND(PedBerMedDisc!C21&gt;1,PedBerMedDisc!O21&gt;1),PedBerMedDisc!N21,"")</f>
        <v/>
      </c>
      <c r="M44" s="117" t="str">
        <f>IF(AND(PedBerMedDisc!C21&gt;1,L44&lt;&gt;0,PedBerMedDisc!O21&gt;1),"ml","")</f>
        <v/>
      </c>
      <c r="N44" s="117"/>
      <c r="O44" s="117" t="str">
        <f>IF(AND(L44&lt;&gt;"",PedBerMedDisc!Q21&gt;0),PedBerMedDisc!Q21&amp;" min","")</f>
        <v/>
      </c>
      <c r="P44" s="117"/>
      <c r="Q44" s="117"/>
      <c r="R44" s="117"/>
      <c r="S44" s="117"/>
      <c r="T44" s="117"/>
      <c r="U44" s="117"/>
      <c r="V44" s="117"/>
    </row>
    <row r="45" spans="1:22" s="246" customFormat="1" ht="19.55" customHeight="1" x14ac:dyDescent="0.35">
      <c r="A45" s="117"/>
      <c r="B45" s="125" t="s">
        <v>315</v>
      </c>
      <c r="C45" s="126"/>
      <c r="D45" s="128">
        <f>GlobBerOpm!C26</f>
        <v>0</v>
      </c>
      <c r="E45" s="128"/>
      <c r="F45" s="128"/>
      <c r="G45" s="128"/>
      <c r="H45" s="127" t="str">
        <f>IF(PedBerMedDisc!C21&gt;1,"Dosering/kg/dag: ","")</f>
        <v/>
      </c>
      <c r="I45" s="126"/>
      <c r="J45" s="128" t="str">
        <f>IF(PedBerMedDisc!C21&gt;1,PedBerMedDisc!M21,"")</f>
        <v/>
      </c>
      <c r="K45" s="126" t="str">
        <f>IF(AND(PedBerMedDisc!C21&gt;1,H44&lt;&gt;"STOP"),J44&amp;"/kg/dag ","")</f>
        <v/>
      </c>
      <c r="L45" s="126"/>
      <c r="M45" s="126" t="str">
        <f>IF(AND(PedBerMedDisc!C21&gt;1,PedBerMedDisc!O21&gt;1,PedBerMedDisc!N21&gt;0),"Oplossing:","")</f>
        <v/>
      </c>
      <c r="N45" s="126" t="str">
        <f>IF(AND(PedBerMedDisc!C21&gt;1,PedBerMedDisc!O21&gt;1,PedBerMedDisc!N21&gt;0),ROUND(PedBerMedDisc!H21/PedBerMedDisc!N21,2)&amp;" "&amp;PedBerMedDisc!F21&amp;"/ml","")</f>
        <v/>
      </c>
      <c r="O45" s="126"/>
      <c r="P45" s="126"/>
      <c r="Q45" s="117"/>
      <c r="R45" s="117"/>
      <c r="S45" s="117"/>
      <c r="T45" s="117"/>
      <c r="U45" s="117"/>
      <c r="V45" s="117"/>
    </row>
    <row r="46" spans="1:22" s="246" customFormat="1" ht="19.55" customHeight="1" x14ac:dyDescent="0.4">
      <c r="A46" s="117"/>
      <c r="B46" s="119">
        <v>21</v>
      </c>
      <c r="C46" s="130"/>
      <c r="D46" s="868">
        <f>PedBerMedDisc!C22</f>
        <v>0</v>
      </c>
      <c r="E46" s="868"/>
      <c r="F46" s="868"/>
      <c r="G46" s="868"/>
      <c r="H46" s="121" t="str">
        <f>IF(INDEX(tblMedDiscTijdenValues,PedBerMedDisc!I22,1)=0,"",INDEX(tblMedDiscTijdenValues,PedBerMedDisc!I22,1))</f>
        <v/>
      </c>
      <c r="I46" s="122" t="str">
        <f>IF(PedBerMedDisc!C22&gt;1,PedBerMedDisc!H22,"")</f>
        <v/>
      </c>
      <c r="J46" s="123" t="str">
        <f>IF(PedBerMedDisc!C22&gt;1,PedBerMedDisc!F22,"")</f>
        <v/>
      </c>
      <c r="K46" s="124">
        <f>PedBerMedDisc!L22</f>
        <v>0</v>
      </c>
      <c r="L46" s="117" t="str">
        <f>IF(AND(PedBerMedDisc!C22&gt;1,PedBerMedDisc!O22&gt;1),PedBerMedDisc!N22,"")</f>
        <v/>
      </c>
      <c r="M46" s="117" t="str">
        <f>IF(AND(PedBerMedDisc!C22&gt;1,L46&lt;&gt;0,PedBerMedDisc!O22&gt;1),"ml","")</f>
        <v/>
      </c>
      <c r="N46" s="117"/>
      <c r="O46" s="117" t="str">
        <f>IF(AND(L46&lt;&gt;"",PedBerMedDisc!Q22&gt;0),PedBerMedDisc!Q22&amp;" min","")</f>
        <v/>
      </c>
      <c r="P46" s="117"/>
      <c r="Q46" s="117"/>
      <c r="R46" s="117"/>
      <c r="S46" s="117"/>
      <c r="T46" s="117"/>
      <c r="U46" s="117"/>
      <c r="V46" s="117"/>
    </row>
    <row r="47" spans="1:22" s="246" customFormat="1" ht="19.55" customHeight="1" x14ac:dyDescent="0.35">
      <c r="A47" s="117"/>
      <c r="B47" s="125" t="s">
        <v>315</v>
      </c>
      <c r="C47" s="126"/>
      <c r="D47" s="128">
        <f>GlobBerOpm!C27</f>
        <v>0</v>
      </c>
      <c r="E47" s="128"/>
      <c r="F47" s="128"/>
      <c r="G47" s="128"/>
      <c r="H47" s="127" t="str">
        <f>IF(PedBerMedDisc!C22&gt;1,"Dosering/kg/dag: ","")</f>
        <v/>
      </c>
      <c r="I47" s="126"/>
      <c r="J47" s="128" t="str">
        <f>IF(PedBerMedDisc!C22&gt;1,PedBerMedDisc!M22,"")</f>
        <v/>
      </c>
      <c r="K47" s="126" t="str">
        <f>IF(AND(PedBerMedDisc!C22&gt;1,H46&lt;&gt;"STOP"),J46&amp;"/kg/dag ","")</f>
        <v/>
      </c>
      <c r="L47" s="126"/>
      <c r="M47" s="126" t="str">
        <f>IF(AND(PedBerMedDisc!C22&gt;1,PedBerMedDisc!O22&gt;1,PedBerMedDisc!N22&gt;0),"Oplossing:","")</f>
        <v/>
      </c>
      <c r="N47" s="126" t="str">
        <f>IF(AND(PedBerMedDisc!C22&gt;1,PedBerMedDisc!O22&gt;1,PedBerMedDisc!N22&gt;0),ROUND(PedBerMedDisc!H22/PedBerMedDisc!N22,2)&amp;" "&amp;PedBerMedDisc!F22&amp;"/ml","")</f>
        <v/>
      </c>
      <c r="O47" s="126"/>
      <c r="P47" s="126"/>
      <c r="Q47" s="117"/>
      <c r="R47" s="117"/>
      <c r="S47" s="117"/>
      <c r="T47" s="117"/>
      <c r="U47" s="117"/>
      <c r="V47" s="117"/>
    </row>
    <row r="48" spans="1:22" s="246" customFormat="1" ht="19.55" customHeight="1" x14ac:dyDescent="0.4">
      <c r="A48" s="117"/>
      <c r="B48" s="119">
        <v>22</v>
      </c>
      <c r="C48" s="130"/>
      <c r="D48" s="868">
        <f>PedBerMedDisc!C23</f>
        <v>0</v>
      </c>
      <c r="E48" s="868"/>
      <c r="F48" s="868"/>
      <c r="G48" s="868"/>
      <c r="H48" s="121" t="str">
        <f>IF(INDEX(tblMedDiscTijdenValues,PedBerMedDisc!I23,1)=0,"",INDEX(tblMedDiscTijdenValues,PedBerMedDisc!I23,1))</f>
        <v/>
      </c>
      <c r="I48" s="122" t="str">
        <f>IF(PedBerMedDisc!C23&gt;1,PedBerMedDisc!H23,"")</f>
        <v/>
      </c>
      <c r="J48" s="123" t="str">
        <f>IF(PedBerMedDisc!C23&gt;1,PedBerMedDisc!F23,"")</f>
        <v/>
      </c>
      <c r="K48" s="124">
        <f>PedBerMedDisc!L23</f>
        <v>0</v>
      </c>
      <c r="L48" s="117" t="str">
        <f>IF(AND(PedBerMedDisc!C23&gt;1,PedBerMedDisc!O23&gt;1),PedBerMedDisc!N23,"")</f>
        <v/>
      </c>
      <c r="M48" s="117" t="str">
        <f>IF(AND(PedBerMedDisc!C23&gt;1,L48&lt;&gt;0,PedBerMedDisc!O23&gt;1),"ml","")</f>
        <v/>
      </c>
      <c r="N48" s="117"/>
      <c r="O48" s="117" t="str">
        <f>IF(AND(L48&lt;&gt;"",PedBerMedDisc!Q23&gt;0),PedBerMedDisc!Q23&amp;" min","")</f>
        <v/>
      </c>
      <c r="P48" s="117"/>
      <c r="Q48" s="117"/>
      <c r="R48" s="117"/>
      <c r="S48" s="117"/>
      <c r="T48" s="117"/>
      <c r="U48" s="117"/>
      <c r="V48" s="117"/>
    </row>
    <row r="49" spans="1:22" s="246" customFormat="1" ht="19.55" customHeight="1" x14ac:dyDescent="0.35">
      <c r="A49" s="117"/>
      <c r="B49" s="125" t="s">
        <v>315</v>
      </c>
      <c r="C49" s="126"/>
      <c r="D49" s="128">
        <f>GlobBerOpm!C28</f>
        <v>0</v>
      </c>
      <c r="E49" s="128"/>
      <c r="F49" s="128"/>
      <c r="G49" s="128"/>
      <c r="H49" s="127" t="str">
        <f>IF(PedBerMedDisc!C23&gt;1,"Dosering/kg/dag: ","")</f>
        <v/>
      </c>
      <c r="I49" s="126"/>
      <c r="J49" s="128" t="str">
        <f>IF(PedBerMedDisc!C23&gt;1,PedBerMedDisc!M23,"")</f>
        <v/>
      </c>
      <c r="K49" s="126" t="str">
        <f>IF(AND(PedBerMedDisc!C23&gt;1,H48&lt;&gt;"STOP"),J48&amp;"/kg/dag ","")</f>
        <v/>
      </c>
      <c r="L49" s="126"/>
      <c r="M49" s="126" t="str">
        <f>IF(AND(PedBerMedDisc!C23&gt;1,PedBerMedDisc!O23&gt;1,PedBerMedDisc!N23&gt;0),"Oplossing:","")</f>
        <v/>
      </c>
      <c r="N49" s="126" t="str">
        <f>IF(AND(PedBerMedDisc!C23&gt;1,PedBerMedDisc!O23&gt;1,PedBerMedDisc!N23&gt;0),ROUND(PedBerMedDisc!H23/PedBerMedDisc!N23,2)&amp;" "&amp;PedBerMedDisc!F23&amp;"/ml","")</f>
        <v/>
      </c>
      <c r="O49" s="126"/>
      <c r="P49" s="126"/>
      <c r="Q49" s="117"/>
      <c r="R49" s="117"/>
      <c r="S49" s="117"/>
      <c r="T49" s="117"/>
      <c r="U49" s="117"/>
      <c r="V49" s="117"/>
    </row>
    <row r="50" spans="1:22" s="246" customFormat="1" ht="19.55" customHeight="1" x14ac:dyDescent="0.4">
      <c r="A50" s="117"/>
      <c r="B50" s="119">
        <v>23</v>
      </c>
      <c r="C50" s="130"/>
      <c r="D50" s="868">
        <f>PedBerMedDisc!C24</f>
        <v>0</v>
      </c>
      <c r="E50" s="868"/>
      <c r="F50" s="868"/>
      <c r="G50" s="868"/>
      <c r="H50" s="121" t="str">
        <f>IF(INDEX(tblMedDiscTijdenValues,PedBerMedDisc!I24,1)=0,"",INDEX(tblMedDiscTijdenValues,PedBerMedDisc!I24,1))</f>
        <v/>
      </c>
      <c r="I50" s="122" t="str">
        <f>IF(PedBerMedDisc!C24&gt;1,PedBerMedDisc!H24,"")</f>
        <v/>
      </c>
      <c r="J50" s="123" t="str">
        <f>IF(PedBerMedDisc!C24&gt;1,PedBerMedDisc!F24,"")</f>
        <v/>
      </c>
      <c r="K50" s="124">
        <f>PedBerMedDisc!L24</f>
        <v>0</v>
      </c>
      <c r="L50" s="117" t="str">
        <f>IF(AND(PedBerMedDisc!C24&gt;1,PedBerMedDisc!O24&gt;1),PedBerMedDisc!N24,"")</f>
        <v/>
      </c>
      <c r="M50" s="117" t="str">
        <f>IF(AND(PedBerMedDisc!C24&gt;1,L50&lt;&gt;0,PedBerMedDisc!O24&gt;1),"ml","")</f>
        <v/>
      </c>
      <c r="N50" s="117"/>
      <c r="O50" s="117" t="str">
        <f>IF(AND(L50&lt;&gt;"",PedBerMedDisc!Q24&gt;0),PedBerMedDisc!Q24&amp;" min","")</f>
        <v/>
      </c>
      <c r="P50" s="117"/>
      <c r="Q50" s="117"/>
      <c r="R50" s="117"/>
      <c r="S50" s="117"/>
      <c r="T50" s="117"/>
      <c r="U50" s="117"/>
      <c r="V50" s="117"/>
    </row>
    <row r="51" spans="1:22" s="246" customFormat="1" ht="19.55" customHeight="1" x14ac:dyDescent="0.35">
      <c r="A51" s="117"/>
      <c r="B51" s="125" t="s">
        <v>315</v>
      </c>
      <c r="C51" s="126"/>
      <c r="D51" s="128">
        <f>GlobBerOpm!C29</f>
        <v>0</v>
      </c>
      <c r="E51" s="128"/>
      <c r="F51" s="128"/>
      <c r="G51" s="128"/>
      <c r="H51" s="127" t="str">
        <f>IF(PedBerMedDisc!C24&gt;1,"Dosering/kg/dag: ","")</f>
        <v/>
      </c>
      <c r="I51" s="126"/>
      <c r="J51" s="128" t="str">
        <f>IF(PedBerMedDisc!C24&gt;1,PedBerMedDisc!M24,"")</f>
        <v/>
      </c>
      <c r="K51" s="126" t="str">
        <f>IF(AND(PedBerMedDisc!C24&gt;1,H50&lt;&gt;"STOP"),J50&amp;"/kg/dag ","")</f>
        <v/>
      </c>
      <c r="L51" s="126"/>
      <c r="M51" s="126" t="str">
        <f>IF(AND(PedBerMedDisc!C24&gt;1,PedBerMedDisc!O24&gt;1,PedBerMedDisc!N24&gt;0),"Oplossing:","")</f>
        <v/>
      </c>
      <c r="N51" s="126" t="str">
        <f>IF(AND(PedBerMedDisc!C24&gt;1,PedBerMedDisc!O24&gt;1,PedBerMedDisc!N24&gt;0),ROUND(PedBerMedDisc!H24/PedBerMedDisc!N24,2)&amp;" "&amp;PedBerMedDisc!F24&amp;"/ml","")</f>
        <v/>
      </c>
      <c r="O51" s="126"/>
      <c r="P51" s="126"/>
      <c r="Q51" s="117"/>
      <c r="R51" s="117"/>
      <c r="S51" s="117"/>
      <c r="T51" s="117"/>
      <c r="U51" s="117"/>
      <c r="V51" s="117"/>
    </row>
    <row r="52" spans="1:22" s="246" customFormat="1" ht="19.55" customHeight="1" x14ac:dyDescent="0.4">
      <c r="A52" s="117"/>
      <c r="B52" s="119">
        <v>24</v>
      </c>
      <c r="C52" s="130"/>
      <c r="D52" s="868">
        <f>PedBerMedDisc!C25</f>
        <v>0</v>
      </c>
      <c r="E52" s="868"/>
      <c r="F52" s="868"/>
      <c r="G52" s="868"/>
      <c r="H52" s="121" t="str">
        <f>IF(INDEX(tblMedDiscTijdenValues,PedBerMedDisc!I25,1)=0,"",INDEX(tblMedDiscTijdenValues,PedBerMedDisc!I25,1))</f>
        <v/>
      </c>
      <c r="I52" s="122" t="str">
        <f>IF(PedBerMedDisc!C25&gt;1,PedBerMedDisc!H25,"")</f>
        <v/>
      </c>
      <c r="J52" s="123" t="str">
        <f>IF(PedBerMedDisc!C25&gt;1,PedBerMedDisc!F25,"")</f>
        <v/>
      </c>
      <c r="K52" s="124">
        <f>PedBerMedDisc!L25</f>
        <v>0</v>
      </c>
      <c r="L52" s="117" t="str">
        <f>IF(AND(PedBerMedDisc!C25&gt;1,PedBerMedDisc!O25&gt;1),PedBerMedDisc!N25,"")</f>
        <v/>
      </c>
      <c r="M52" s="117" t="str">
        <f>IF(AND(PedBerMedDisc!C25&gt;1,L52&lt;&gt;0,PedBerMedDisc!O25&gt;1),"ml","")</f>
        <v/>
      </c>
      <c r="N52" s="117"/>
      <c r="O52" s="117" t="str">
        <f>IF(AND(L52&lt;&gt;"",PedBerMedDisc!Q25&gt;0),PedBerMedDisc!Q25&amp;" min","")</f>
        <v/>
      </c>
      <c r="P52" s="117"/>
      <c r="Q52" s="117"/>
      <c r="R52" s="117"/>
      <c r="S52" s="117"/>
      <c r="T52" s="117"/>
      <c r="U52" s="117"/>
      <c r="V52" s="117"/>
    </row>
    <row r="53" spans="1:22" s="246" customFormat="1" ht="19.55" customHeight="1" x14ac:dyDescent="0.35">
      <c r="A53" s="117"/>
      <c r="B53" s="125" t="s">
        <v>315</v>
      </c>
      <c r="C53" s="126"/>
      <c r="D53" s="128">
        <f>GlobBerOpm!C30</f>
        <v>0</v>
      </c>
      <c r="E53" s="128"/>
      <c r="F53" s="128"/>
      <c r="G53" s="128"/>
      <c r="H53" s="127" t="str">
        <f>IF(PedBerMedDisc!C25&gt;1,"Dosering/kg/dag: ","")</f>
        <v/>
      </c>
      <c r="I53" s="126"/>
      <c r="J53" s="128" t="str">
        <f>IF(PedBerMedDisc!C25&gt;1,PedBerMedDisc!M25,"")</f>
        <v/>
      </c>
      <c r="K53" s="126" t="str">
        <f>IF(AND(PedBerMedDisc!C25&gt;1,H52&lt;&gt;"STOP"),J52&amp;"/kg/dag ","")</f>
        <v/>
      </c>
      <c r="L53" s="126"/>
      <c r="M53" s="126" t="str">
        <f>IF(AND(PedBerMedDisc!C25&gt;1,PedBerMedDisc!O25&gt;1,PedBerMedDisc!N25&gt;0),"Oplossing:","")</f>
        <v/>
      </c>
      <c r="N53" s="126" t="str">
        <f>IF(AND(PedBerMedDisc!C25&gt;1,PedBerMedDisc!O25&gt;1,PedBerMedDisc!N25&gt;0),ROUND(PedBerMedDisc!H25/PedBerMedDisc!N25,2)&amp;" "&amp;PedBerMedDisc!F25&amp;"/ml","")</f>
        <v/>
      </c>
      <c r="O53" s="126"/>
      <c r="P53" s="126"/>
      <c r="Q53" s="117"/>
      <c r="R53" s="117"/>
      <c r="S53" s="117"/>
      <c r="T53" s="117"/>
      <c r="U53" s="117"/>
      <c r="V53" s="117"/>
    </row>
    <row r="54" spans="1:22" s="246" customFormat="1" ht="19.55" customHeight="1" x14ac:dyDescent="0.4">
      <c r="A54" s="117"/>
      <c r="B54" s="119">
        <v>25</v>
      </c>
      <c r="C54" s="130"/>
      <c r="D54" s="868">
        <f>PedBerMedDisc!C26</f>
        <v>0</v>
      </c>
      <c r="E54" s="868"/>
      <c r="F54" s="868"/>
      <c r="G54" s="868"/>
      <c r="H54" s="121" t="str">
        <f>IF(INDEX(tblMedDiscTijdenValues,PedBerMedDisc!I26,1)=0,"",INDEX(tblMedDiscTijdenValues,PedBerMedDisc!I26,1))</f>
        <v/>
      </c>
      <c r="I54" s="122" t="str">
        <f>IF(PedBerMedDisc!C26&gt;1,PedBerMedDisc!H26,"")</f>
        <v/>
      </c>
      <c r="J54" s="123" t="str">
        <f>IF(PedBerMedDisc!C26&gt;1,PedBerMedDisc!F26,"")</f>
        <v/>
      </c>
      <c r="K54" s="124">
        <f>PedBerMedDisc!L26</f>
        <v>0</v>
      </c>
      <c r="L54" s="117" t="str">
        <f>IF(AND(PedBerMedDisc!C26&gt;1,PedBerMedDisc!O26&gt;1),PedBerMedDisc!N26,"")</f>
        <v/>
      </c>
      <c r="M54" s="117" t="str">
        <f>IF(AND(PedBerMedDisc!C26&gt;1,L54&lt;&gt;0,PedBerMedDisc!O26&gt;1),"ml","")</f>
        <v/>
      </c>
      <c r="N54" s="117"/>
      <c r="O54" s="117" t="str">
        <f>IF(AND(L54&lt;&gt;"",PedBerMedDisc!Q26&gt;0),PedBerMedDisc!Q26&amp;" min","")</f>
        <v/>
      </c>
      <c r="P54" s="117"/>
      <c r="Q54" s="117"/>
      <c r="R54" s="117"/>
      <c r="S54" s="117"/>
      <c r="T54" s="117"/>
      <c r="U54" s="117"/>
      <c r="V54" s="117"/>
    </row>
    <row r="55" spans="1:22" s="246" customFormat="1" ht="19.55" customHeight="1" x14ac:dyDescent="0.35">
      <c r="A55" s="117"/>
      <c r="B55" s="125" t="s">
        <v>315</v>
      </c>
      <c r="C55" s="126"/>
      <c r="D55" s="128">
        <f>GlobBerOpm!C31</f>
        <v>0</v>
      </c>
      <c r="E55" s="128"/>
      <c r="F55" s="128"/>
      <c r="G55" s="128"/>
      <c r="H55" s="127" t="str">
        <f>IF(PedBerMedDisc!C26&gt;1,"Dosering/kg/dag: ","")</f>
        <v/>
      </c>
      <c r="I55" s="126"/>
      <c r="J55" s="128" t="str">
        <f>IF(PedBerMedDisc!C26&gt;1,PedBerMedDisc!M26,"")</f>
        <v/>
      </c>
      <c r="K55" s="126" t="str">
        <f>IF(AND(PedBerMedDisc!C26&gt;1,H54&lt;&gt;"STOP"),J54&amp;"/kg/dag ","")</f>
        <v/>
      </c>
      <c r="L55" s="126"/>
      <c r="M55" s="126" t="str">
        <f>IF(AND(PedBerMedDisc!C26&gt;1,PedBerMedDisc!O26&gt;1,PedBerMedDisc!N26&gt;0),"Oplossing:","")</f>
        <v/>
      </c>
      <c r="N55" s="126" t="str">
        <f>IF(AND(PedBerMedDisc!C26&gt;1,PedBerMedDisc!O26&gt;1,PedBerMedDisc!N26&gt;0),ROUND(PedBerMedDisc!H26/PedBerMedDisc!N26,2)&amp;" "&amp;PedBerMedDisc!F26&amp;"/ml","")</f>
        <v/>
      </c>
      <c r="O55" s="126"/>
      <c r="P55" s="126"/>
      <c r="Q55" s="117"/>
      <c r="R55" s="117"/>
      <c r="S55" s="117"/>
      <c r="T55" s="117"/>
      <c r="U55" s="117"/>
      <c r="V55" s="117"/>
    </row>
    <row r="56" spans="1:22" s="246" customFormat="1" ht="19.55" customHeight="1" x14ac:dyDescent="0.4">
      <c r="A56" s="117"/>
      <c r="B56" s="119">
        <v>26</v>
      </c>
      <c r="C56" s="130"/>
      <c r="D56" s="868">
        <f>PedBerMedDisc!C27</f>
        <v>0</v>
      </c>
      <c r="E56" s="868"/>
      <c r="F56" s="868"/>
      <c r="G56" s="868"/>
      <c r="H56" s="121" t="str">
        <f>IF(INDEX(tblMedDiscTijdenValues,PedBerMedDisc!I27,1)=0,"",INDEX(tblMedDiscTijdenValues,PedBerMedDisc!I27,1))</f>
        <v/>
      </c>
      <c r="I56" s="122" t="str">
        <f>IF(PedBerMedDisc!C27&gt;1,PedBerMedDisc!H27,"")</f>
        <v/>
      </c>
      <c r="J56" s="123" t="str">
        <f>IF(PedBerMedDisc!C27&gt;1,PedBerMedDisc!F27,"")</f>
        <v/>
      </c>
      <c r="K56" s="124">
        <f>PedBerMedDisc!L27</f>
        <v>0</v>
      </c>
      <c r="L56" s="117" t="str">
        <f>IF(AND(PedBerMedDisc!C27&gt;1,PedBerMedDisc!O27&gt;1),PedBerMedDisc!N27,"")</f>
        <v/>
      </c>
      <c r="M56" s="117" t="str">
        <f>IF(AND(PedBerMedDisc!C27&gt;1,L56&lt;&gt;0,PedBerMedDisc!O27&gt;1),"ml","")</f>
        <v/>
      </c>
      <c r="N56" s="117"/>
      <c r="O56" s="117" t="str">
        <f>IF(AND(L56&lt;&gt;"",PedBerMedDisc!Q27&gt;0),PedBerMedDisc!Q27&amp;" min","")</f>
        <v/>
      </c>
      <c r="P56" s="117"/>
      <c r="Q56" s="117"/>
      <c r="R56" s="117"/>
      <c r="S56" s="117"/>
      <c r="T56" s="117"/>
      <c r="U56" s="117"/>
      <c r="V56" s="117"/>
    </row>
    <row r="57" spans="1:22" s="246" customFormat="1" ht="19.55" customHeight="1" x14ac:dyDescent="0.35">
      <c r="A57" s="117"/>
      <c r="B57" s="125" t="s">
        <v>315</v>
      </c>
      <c r="C57" s="126"/>
      <c r="D57" s="128">
        <f>GlobBerOpm!C32</f>
        <v>0</v>
      </c>
      <c r="E57" s="128"/>
      <c r="F57" s="128"/>
      <c r="G57" s="128"/>
      <c r="H57" s="127" t="str">
        <f>IF(PedBerMedDisc!C27&gt;1,"Dosering/kg/dag: ","")</f>
        <v/>
      </c>
      <c r="I57" s="126"/>
      <c r="J57" s="128" t="str">
        <f>IF(PedBerMedDisc!C27&gt;1,PedBerMedDisc!M27,"")</f>
        <v/>
      </c>
      <c r="K57" s="126" t="str">
        <f>IF(AND(PedBerMedDisc!C27&gt;1,H56&lt;&gt;"STOP"),J56&amp;"/kg/dag ","")</f>
        <v/>
      </c>
      <c r="L57" s="126"/>
      <c r="M57" s="126" t="str">
        <f>IF(AND(PedBerMedDisc!C27&gt;1,PedBerMedDisc!O27&gt;1,PedBerMedDisc!N27&gt;0),"Oplossing:","")</f>
        <v/>
      </c>
      <c r="N57" s="126" t="str">
        <f>IF(AND(PedBerMedDisc!C27&gt;1,PedBerMedDisc!O27&gt;1,PedBerMedDisc!N27&gt;0),ROUND(PedBerMedDisc!H27/PedBerMedDisc!N27,2)&amp;" "&amp;PedBerMedDisc!F27&amp;"/ml","")</f>
        <v/>
      </c>
      <c r="O57" s="126"/>
      <c r="P57" s="126"/>
      <c r="Q57" s="117"/>
      <c r="R57" s="117"/>
      <c r="S57" s="117"/>
      <c r="T57" s="117"/>
      <c r="U57" s="117"/>
      <c r="V57" s="117"/>
    </row>
    <row r="58" spans="1:22" s="246" customFormat="1" ht="19.55" customHeight="1" x14ac:dyDescent="0.4">
      <c r="A58" s="117"/>
      <c r="B58" s="119">
        <v>27</v>
      </c>
      <c r="C58" s="130"/>
      <c r="D58" s="868">
        <f>PedBerMedDisc!C28</f>
        <v>0</v>
      </c>
      <c r="E58" s="868"/>
      <c r="F58" s="868"/>
      <c r="G58" s="868"/>
      <c r="H58" s="121" t="str">
        <f>IF(INDEX(tblMedDiscTijdenValues,PedBerMedDisc!I28,1)=0,"",INDEX(tblMedDiscTijdenValues,PedBerMedDisc!I28,1))</f>
        <v/>
      </c>
      <c r="I58" s="122" t="str">
        <f>IF(PedBerMedDisc!C28&gt;1,PedBerMedDisc!H28,"")</f>
        <v/>
      </c>
      <c r="J58" s="123" t="str">
        <f>IF(PedBerMedDisc!C28&gt;1,PedBerMedDisc!F28,"")</f>
        <v/>
      </c>
      <c r="K58" s="124">
        <f>PedBerMedDisc!L28</f>
        <v>0</v>
      </c>
      <c r="L58" s="117" t="str">
        <f>IF(AND(PedBerMedDisc!C28&gt;1,PedBerMedDisc!O28&gt;1),PedBerMedDisc!N28,"")</f>
        <v/>
      </c>
      <c r="M58" s="117" t="str">
        <f>IF(AND(PedBerMedDisc!C28&gt;1,L58&lt;&gt;0,PedBerMedDisc!O28&gt;1),"ml","")</f>
        <v/>
      </c>
      <c r="N58" s="117"/>
      <c r="O58" s="117" t="str">
        <f>IF(AND(L58&lt;&gt;"",PedBerMedDisc!Q28&gt;0),PedBerMedDisc!Q28&amp;" min","")</f>
        <v/>
      </c>
      <c r="P58" s="117"/>
      <c r="Q58" s="117"/>
      <c r="R58" s="117"/>
      <c r="S58" s="117"/>
      <c r="T58" s="117"/>
      <c r="U58" s="117"/>
      <c r="V58" s="117"/>
    </row>
    <row r="59" spans="1:22" s="246" customFormat="1" ht="19.55" customHeight="1" x14ac:dyDescent="0.35">
      <c r="A59" s="117"/>
      <c r="B59" s="125" t="s">
        <v>315</v>
      </c>
      <c r="C59" s="126"/>
      <c r="D59" s="128">
        <f>GlobBerOpm!C33</f>
        <v>0</v>
      </c>
      <c r="E59" s="128"/>
      <c r="F59" s="128"/>
      <c r="G59" s="128"/>
      <c r="H59" s="127" t="str">
        <f>IF(PedBerMedDisc!C28&gt;1,"Dosering/kg/dag: ","")</f>
        <v/>
      </c>
      <c r="I59" s="126"/>
      <c r="J59" s="128" t="str">
        <f>IF(PedBerMedDisc!C28&gt;1,PedBerMedDisc!M28,"")</f>
        <v/>
      </c>
      <c r="K59" s="126" t="str">
        <f>IF(AND(PedBerMedDisc!C28&gt;1,H58&lt;&gt;"STOP"),J58&amp;"/kg/dag ","")</f>
        <v/>
      </c>
      <c r="L59" s="126"/>
      <c r="M59" s="126" t="str">
        <f>IF(AND(PedBerMedDisc!C28&gt;1,PedBerMedDisc!O28&gt;1,PedBerMedDisc!N28&gt;0),"Oplossing:","")</f>
        <v/>
      </c>
      <c r="N59" s="126" t="str">
        <f>IF(AND(PedBerMedDisc!C28&gt;1,PedBerMedDisc!O28&gt;1,PedBerMedDisc!N28&gt;0),ROUND(PedBerMedDisc!H28/PedBerMedDisc!N28,2)&amp;" "&amp;PedBerMedDisc!F28&amp;"/ml","")</f>
        <v/>
      </c>
      <c r="O59" s="126"/>
      <c r="P59" s="126"/>
      <c r="Q59" s="117"/>
      <c r="R59" s="117"/>
      <c r="S59" s="117"/>
      <c r="T59" s="117"/>
      <c r="U59" s="117"/>
      <c r="V59" s="117"/>
    </row>
    <row r="60" spans="1:22" s="246" customFormat="1" ht="19.55" customHeight="1" x14ac:dyDescent="0.4">
      <c r="A60" s="117"/>
      <c r="B60" s="119">
        <v>28</v>
      </c>
      <c r="C60" s="130"/>
      <c r="D60" s="868">
        <f>PedBerMedDisc!C29</f>
        <v>0</v>
      </c>
      <c r="E60" s="868"/>
      <c r="F60" s="868"/>
      <c r="G60" s="868"/>
      <c r="H60" s="121" t="str">
        <f>IF(INDEX(tblMedDiscTijdenValues,PedBerMedDisc!I29,1)=0,"",INDEX(tblMedDiscTijdenValues,PedBerMedDisc!I29,1))</f>
        <v/>
      </c>
      <c r="I60" s="122" t="str">
        <f>IF(PedBerMedDisc!C29&gt;1,PedBerMedDisc!H29,"")</f>
        <v/>
      </c>
      <c r="J60" s="123" t="str">
        <f>IF(PedBerMedDisc!C29&gt;1,PedBerMedDisc!F29,"")</f>
        <v/>
      </c>
      <c r="K60" s="124">
        <f>PedBerMedDisc!L29</f>
        <v>0</v>
      </c>
      <c r="L60" s="117" t="str">
        <f>IF(AND(PedBerMedDisc!C29&gt;1,PedBerMedDisc!O29&gt;1),PedBerMedDisc!N29,"")</f>
        <v/>
      </c>
      <c r="M60" s="117" t="str">
        <f>IF(AND(PedBerMedDisc!C29&gt;1,L60&lt;&gt;0,PedBerMedDisc!O29&gt;1),"ml","")</f>
        <v/>
      </c>
      <c r="N60" s="117"/>
      <c r="O60" s="117" t="str">
        <f>IF(AND(L60&lt;&gt;"",PedBerMedDisc!Q29&gt;0),PedBerMedDisc!Q29&amp;" min","")</f>
        <v/>
      </c>
      <c r="P60" s="117"/>
      <c r="Q60" s="117"/>
      <c r="R60" s="117"/>
      <c r="S60" s="117"/>
      <c r="T60" s="117"/>
      <c r="U60" s="117"/>
      <c r="V60" s="117"/>
    </row>
    <row r="61" spans="1:22" s="246" customFormat="1" ht="19.55" customHeight="1" x14ac:dyDescent="0.35">
      <c r="A61" s="117"/>
      <c r="B61" s="125" t="s">
        <v>315</v>
      </c>
      <c r="C61" s="126"/>
      <c r="D61" s="128">
        <f>GlobBerOpm!C34</f>
        <v>0</v>
      </c>
      <c r="E61" s="128"/>
      <c r="F61" s="128"/>
      <c r="G61" s="128"/>
      <c r="H61" s="127" t="str">
        <f>IF(PedBerMedDisc!C29&gt;1,"Dosering/kg/dag: ","")</f>
        <v/>
      </c>
      <c r="I61" s="126"/>
      <c r="J61" s="128" t="str">
        <f>IF(PedBerMedDisc!C29&gt;1,PedBerMedDisc!M29,"")</f>
        <v/>
      </c>
      <c r="K61" s="126" t="str">
        <f>IF(AND(PedBerMedDisc!C29&gt;1,H60&lt;&gt;"STOP"),J60&amp;"/kg/dag ","")</f>
        <v/>
      </c>
      <c r="L61" s="126"/>
      <c r="M61" s="126" t="str">
        <f>IF(AND(PedBerMedDisc!C29&gt;1,PedBerMedDisc!O29&gt;1,PedBerMedDisc!N29&gt;0),"Oplossing:","")</f>
        <v/>
      </c>
      <c r="N61" s="126" t="str">
        <f>IF(AND(PedBerMedDisc!C29&gt;1,PedBerMedDisc!O29&gt;1,PedBerMedDisc!N29&gt;0),ROUND(PedBerMedDisc!H29/PedBerMedDisc!N29,2)&amp;" "&amp;PedBerMedDisc!F29&amp;"/ml","")</f>
        <v/>
      </c>
      <c r="O61" s="126"/>
      <c r="P61" s="126"/>
      <c r="Q61" s="117"/>
      <c r="R61" s="117"/>
      <c r="S61" s="117"/>
      <c r="T61" s="117"/>
      <c r="U61" s="117"/>
      <c r="V61" s="117"/>
    </row>
    <row r="62" spans="1:22" s="246" customFormat="1" ht="19.55" customHeight="1" x14ac:dyDescent="0.4">
      <c r="A62" s="117"/>
      <c r="B62" s="119">
        <v>29</v>
      </c>
      <c r="C62" s="130"/>
      <c r="D62" s="868">
        <f>PedBerMedDisc!C30</f>
        <v>0</v>
      </c>
      <c r="E62" s="868"/>
      <c r="F62" s="868"/>
      <c r="G62" s="868"/>
      <c r="H62" s="121" t="str">
        <f>IF(INDEX(tblMedDiscTijdenValues,PedBerMedDisc!I30,1)=0,"",INDEX(tblMedDiscTijdenValues,PedBerMedDisc!I30,1))</f>
        <v/>
      </c>
      <c r="I62" s="122" t="str">
        <f>IF(PedBerMedDisc!C30&gt;1,PedBerMedDisc!H30,"")</f>
        <v/>
      </c>
      <c r="J62" s="123" t="str">
        <f>IF(PedBerMedDisc!C30&gt;1,PedBerMedDisc!F30,"")</f>
        <v/>
      </c>
      <c r="K62" s="124">
        <f>PedBerMedDisc!L30</f>
        <v>0</v>
      </c>
      <c r="L62" s="117" t="str">
        <f>IF(AND(PedBerMedDisc!C30&gt;1,PedBerMedDisc!O30&gt;1),PedBerMedDisc!N30,"")</f>
        <v/>
      </c>
      <c r="M62" s="117" t="str">
        <f>IF(AND(PedBerMedDisc!C30&gt;1,L62&lt;&gt;0,PedBerMedDisc!O30&gt;1),"ml","")</f>
        <v/>
      </c>
      <c r="N62" s="117"/>
      <c r="O62" s="117" t="str">
        <f>IF(AND(L62&lt;&gt;"",PedBerMedDisc!Q30&gt;0),PedBerMedDisc!Q30&amp;" min","")</f>
        <v/>
      </c>
      <c r="P62" s="117"/>
      <c r="Q62" s="117"/>
      <c r="R62" s="117"/>
      <c r="S62" s="117"/>
      <c r="T62" s="117"/>
      <c r="U62" s="117"/>
      <c r="V62" s="117"/>
    </row>
    <row r="63" spans="1:22" s="246" customFormat="1" ht="19.55" customHeight="1" x14ac:dyDescent="0.35">
      <c r="A63" s="117"/>
      <c r="B63" s="125" t="s">
        <v>315</v>
      </c>
      <c r="C63" s="126"/>
      <c r="D63" s="128">
        <f>GlobBerOpm!C35</f>
        <v>0</v>
      </c>
      <c r="E63" s="128"/>
      <c r="F63" s="128"/>
      <c r="G63" s="128"/>
      <c r="H63" s="127" t="str">
        <f>IF(PedBerMedDisc!C30&gt;1,"Dosering/kg/dag: ","")</f>
        <v/>
      </c>
      <c r="I63" s="126"/>
      <c r="J63" s="128" t="str">
        <f>IF(PedBerMedDisc!C30&gt;1,PedBerMedDisc!M30,"")</f>
        <v/>
      </c>
      <c r="K63" s="126" t="str">
        <f>IF(AND(PedBerMedDisc!C30&gt;1,H62&lt;&gt;"STOP"),J62&amp;"/kg/dag ","")</f>
        <v/>
      </c>
      <c r="L63" s="126"/>
      <c r="M63" s="126" t="str">
        <f>IF(AND(PedBerMedDisc!C30&gt;1,PedBerMedDisc!O30&gt;1,PedBerMedDisc!N30&gt;0),"Oplossing:","")</f>
        <v/>
      </c>
      <c r="N63" s="126" t="str">
        <f>IF(AND(PedBerMedDisc!C30&gt;1,PedBerMedDisc!O30&gt;1,PedBerMedDisc!N30&gt;0),ROUND(PedBerMedDisc!H30/PedBerMedDisc!N30,2)&amp;" "&amp;PedBerMedDisc!F30&amp;"/ml","")</f>
        <v/>
      </c>
      <c r="O63" s="126"/>
      <c r="P63" s="126"/>
      <c r="Q63" s="117"/>
      <c r="R63" s="117"/>
      <c r="S63" s="117"/>
      <c r="T63" s="117"/>
      <c r="U63" s="117"/>
      <c r="V63" s="117"/>
    </row>
    <row r="64" spans="1:22" s="246" customFormat="1" ht="19.55" customHeight="1" x14ac:dyDescent="0.4">
      <c r="A64" s="117"/>
      <c r="B64" s="119">
        <v>30</v>
      </c>
      <c r="C64" s="130"/>
      <c r="D64" s="868">
        <f>PedBerMedDisc!C31</f>
        <v>0</v>
      </c>
      <c r="E64" s="868"/>
      <c r="F64" s="868"/>
      <c r="G64" s="868"/>
      <c r="H64" s="121" t="str">
        <f>IF(INDEX(tblMedDiscTijdenValues,PedBerMedDisc!I31,1)=0,"",INDEX(tblMedDiscTijdenValues,PedBerMedDisc!I31,1))</f>
        <v/>
      </c>
      <c r="I64" s="122" t="str">
        <f>IF(PedBerMedDisc!C31&gt;1,PedBerMedDisc!H31,"")</f>
        <v/>
      </c>
      <c r="J64" s="123" t="str">
        <f>IF(PedBerMedDisc!C31&gt;1,PedBerMedDisc!F31,"")</f>
        <v/>
      </c>
      <c r="K64" s="124">
        <f>PedBerMedDisc!L31</f>
        <v>0</v>
      </c>
      <c r="L64" s="117" t="str">
        <f>IF(AND(PedBerMedDisc!C31&gt;1,PedBerMedDisc!O31&gt;1),PedBerMedDisc!N31,"")</f>
        <v/>
      </c>
      <c r="M64" s="117" t="str">
        <f>IF(AND(PedBerMedDisc!C31&gt;1,L64&lt;&gt;0,PedBerMedDisc!O31&gt;1),"ml","")</f>
        <v/>
      </c>
      <c r="N64" s="117"/>
      <c r="O64" s="117" t="str">
        <f>IF(AND(L64&lt;&gt;"",PedBerMedDisc!Q31&gt;0),PedBerMedDisc!Q31&amp;" min","")</f>
        <v/>
      </c>
      <c r="P64" s="117"/>
      <c r="Q64" s="117"/>
      <c r="R64" s="117"/>
      <c r="S64" s="117"/>
      <c r="T64" s="117"/>
      <c r="U64" s="117"/>
      <c r="V64" s="117"/>
    </row>
    <row r="65" spans="1:22" s="246" customFormat="1" ht="19.55" customHeight="1" x14ac:dyDescent="0.35">
      <c r="A65" s="117"/>
      <c r="B65" s="125" t="s">
        <v>315</v>
      </c>
      <c r="C65" s="126"/>
      <c r="D65" s="128">
        <f>GlobBerOpm!C36</f>
        <v>0</v>
      </c>
      <c r="E65" s="128"/>
      <c r="F65" s="128"/>
      <c r="G65" s="128"/>
      <c r="H65" s="127" t="str">
        <f>IF(PedBerMedDisc!C31&gt;1,"Dosering/kg/dag: ","")</f>
        <v/>
      </c>
      <c r="I65" s="126"/>
      <c r="J65" s="128" t="str">
        <f>IF(PedBerMedDisc!C31&gt;1,PedBerMedDisc!M31,"")</f>
        <v/>
      </c>
      <c r="K65" s="126" t="str">
        <f>IF(AND(PedBerMedDisc!C31&gt;1,H64&lt;&gt;"STOP"),J64&amp;"/kg/dag ","")</f>
        <v/>
      </c>
      <c r="L65" s="126"/>
      <c r="M65" s="126" t="str">
        <f>IF(AND(PedBerMedDisc!C31&gt;1,PedBerMedDisc!O31&gt;1,PedBerMedDisc!N31&gt;0),"Oplossing:","")</f>
        <v/>
      </c>
      <c r="N65" s="126" t="str">
        <f>IF(AND(PedBerMedDisc!C31&gt;1,PedBerMedDisc!O31&gt;1,PedBerMedDisc!N31&gt;0),ROUND(PedBerMedDisc!H31/PedBerMedDisc!N31,2)&amp;" "&amp;PedBerMedDisc!F31&amp;"/ml","")</f>
        <v/>
      </c>
      <c r="O65" s="126"/>
      <c r="P65" s="126"/>
      <c r="Q65" s="117"/>
      <c r="R65" s="117"/>
      <c r="S65" s="117"/>
      <c r="T65" s="117"/>
      <c r="U65" s="117"/>
      <c r="V65" s="117"/>
    </row>
    <row r="66" spans="1:22" s="246" customFormat="1" x14ac:dyDescent="0.35"/>
    <row r="67" spans="1:22" s="246" customFormat="1" x14ac:dyDescent="0.35"/>
    <row r="68" spans="1:22" s="246" customFormat="1" x14ac:dyDescent="0.35"/>
    <row r="69" spans="1:22" s="246" customFormat="1" x14ac:dyDescent="0.35"/>
    <row r="70" spans="1:22" s="246" customFormat="1" x14ac:dyDescent="0.35"/>
    <row r="71" spans="1:22" s="246" customFormat="1" x14ac:dyDescent="0.35"/>
    <row r="72" spans="1:22" s="246" customFormat="1" x14ac:dyDescent="0.35"/>
    <row r="73" spans="1:22" s="246" customFormat="1" x14ac:dyDescent="0.35"/>
    <row r="74" spans="1:22" s="246" customFormat="1" x14ac:dyDescent="0.35"/>
    <row r="75" spans="1:22" s="246" customFormat="1" x14ac:dyDescent="0.35"/>
    <row r="76" spans="1:22" s="246" customFormat="1" x14ac:dyDescent="0.35"/>
    <row r="77" spans="1:22" s="246" customFormat="1" x14ac:dyDescent="0.35"/>
    <row r="78" spans="1:22" s="246" customFormat="1" x14ac:dyDescent="0.35"/>
    <row r="79" spans="1:22" s="246" customFormat="1" x14ac:dyDescent="0.35"/>
    <row r="80" spans="1:22" s="246" customFormat="1" x14ac:dyDescent="0.35"/>
    <row r="81" s="246" customFormat="1" x14ac:dyDescent="0.35"/>
    <row r="82" s="246" customFormat="1" x14ac:dyDescent="0.35"/>
    <row r="83" s="246" customFormat="1" x14ac:dyDescent="0.35"/>
    <row r="84" s="246" customFormat="1" x14ac:dyDescent="0.35"/>
    <row r="85" s="246" customFormat="1" x14ac:dyDescent="0.35"/>
    <row r="86" s="246" customFormat="1" x14ac:dyDescent="0.35"/>
    <row r="87" s="246" customFormat="1" x14ac:dyDescent="0.35"/>
    <row r="88" s="246" customFormat="1" x14ac:dyDescent="0.35"/>
    <row r="89" s="246" customFormat="1" x14ac:dyDescent="0.35"/>
    <row r="90" s="246" customFormat="1" x14ac:dyDescent="0.35"/>
    <row r="91" s="246" customFormat="1" x14ac:dyDescent="0.35"/>
    <row r="92" s="246" customFormat="1" x14ac:dyDescent="0.35"/>
    <row r="93" s="246" customFormat="1" x14ac:dyDescent="0.35"/>
    <row r="94" s="246" customFormat="1" x14ac:dyDescent="0.35"/>
    <row r="95" s="246" customFormat="1" x14ac:dyDescent="0.35"/>
    <row r="96" s="246" customFormat="1" x14ac:dyDescent="0.35"/>
    <row r="97" s="246" customFormat="1" x14ac:dyDescent="0.35"/>
    <row r="98" s="246" customFormat="1" x14ac:dyDescent="0.35"/>
    <row r="99" s="246" customFormat="1" x14ac:dyDescent="0.35"/>
    <row r="100" s="246" customFormat="1" x14ac:dyDescent="0.35"/>
    <row r="101" s="246" customFormat="1" x14ac:dyDescent="0.35"/>
    <row r="102" s="246" customFormat="1" x14ac:dyDescent="0.35"/>
    <row r="103" s="246" customFormat="1" x14ac:dyDescent="0.35"/>
    <row r="104" s="246" customFormat="1" x14ac:dyDescent="0.35"/>
    <row r="105" s="246" customFormat="1" x14ac:dyDescent="0.35"/>
    <row r="106" s="246" customFormat="1" x14ac:dyDescent="0.35"/>
    <row r="107" s="246" customFormat="1" x14ac:dyDescent="0.35"/>
    <row r="108" s="246" customFormat="1" x14ac:dyDescent="0.35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D60:G60"/>
    <mergeCell ref="D62:G62"/>
    <mergeCell ref="D64:G64"/>
    <mergeCell ref="D50:G50"/>
    <mergeCell ref="D52:G52"/>
    <mergeCell ref="D54:G54"/>
    <mergeCell ref="D56:G56"/>
    <mergeCell ref="D58:G58"/>
    <mergeCell ref="D30:G30"/>
    <mergeCell ref="D44:G44"/>
    <mergeCell ref="D36:G36"/>
    <mergeCell ref="D38:G38"/>
    <mergeCell ref="D40:G40"/>
    <mergeCell ref="D42:G42"/>
    <mergeCell ref="D46:G46"/>
    <mergeCell ref="D48:G48"/>
    <mergeCell ref="D6:G6"/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</mergeCells>
  <phoneticPr fontId="29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7" name="Drop Down 45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8" name="Drop Down 46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9" name="Drop Down 46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10" name="Drop Down 47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1" name="Drop Down 47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2" name="Drop Down 48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3" name="Drop Down 48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4" name="Drop Down 49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5" name="Drop Down 49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6" name="Drop Down 50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7" name="Spinner 503">
              <controlPr defaultSize="0" autoPict="0">
                <anchor moveWithCells="1" sizeWithCells="1">
                  <from>
                    <xdr:col>7</xdr:col>
                    <xdr:colOff>450019</xdr:colOff>
                    <xdr:row>45</xdr:row>
                    <xdr:rowOff>28725</xdr:rowOff>
                  </from>
                  <to>
                    <xdr:col>7</xdr:col>
                    <xdr:colOff>579280</xdr:colOff>
                    <xdr:row>45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8" name="Spinner 504">
              <controlPr defaultSize="0" autoPict="0">
                <anchor moveWithCells="1" sizeWithCells="1">
                  <from>
                    <xdr:col>9</xdr:col>
                    <xdr:colOff>0</xdr:colOff>
                    <xdr:row>45</xdr:row>
                    <xdr:rowOff>9575</xdr:rowOff>
                  </from>
                  <to>
                    <xdr:col>9</xdr:col>
                    <xdr:colOff>134048</xdr:colOff>
                    <xdr:row>45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9" name="Spinner 506">
              <controlPr defaultSize="0" autoPict="0">
                <anchor moveWithCells="1" sizeWithCells="1">
                  <from>
                    <xdr:col>12</xdr:col>
                    <xdr:colOff>335120</xdr:colOff>
                    <xdr:row>45</xdr:row>
                    <xdr:rowOff>38299</xdr:rowOff>
                  </from>
                  <to>
                    <xdr:col>12</xdr:col>
                    <xdr:colOff>464381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20" name="Spinner 507">
              <controlPr defaultSize="0" autoPict="0">
                <anchor moveWithCells="1" sizeWithCells="1">
                  <from>
                    <xdr:col>15</xdr:col>
                    <xdr:colOff>47874</xdr:colOff>
                    <xdr:row>45</xdr:row>
                    <xdr:rowOff>38299</xdr:rowOff>
                  </from>
                  <to>
                    <xdr:col>15</xdr:col>
                    <xdr:colOff>181923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1" name="Drop Down 508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2" name="Drop Down 509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3" name="Drop Down 510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4" name="Drop Down 511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5" name="Drop Down 512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6" name="Drop Down 513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7" name="Drop Down 514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8" name="Drop Down 515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9" name="Drop Down 516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30" name="Drop Down 517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1" name="Spinner 518">
              <controlPr defaultSize="0" autoPict="0">
                <anchor moveWithCells="1" sizeWithCells="1">
                  <from>
                    <xdr:col>7</xdr:col>
                    <xdr:colOff>450019</xdr:colOff>
                    <xdr:row>47</xdr:row>
                    <xdr:rowOff>28725</xdr:rowOff>
                  </from>
                  <to>
                    <xdr:col>7</xdr:col>
                    <xdr:colOff>579280</xdr:colOff>
                    <xdr:row>47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2" name="Spinner 519">
              <controlPr defaultSize="0" autoPict="0">
                <anchor moveWithCells="1" sizeWithCells="1">
                  <from>
                    <xdr:col>9</xdr:col>
                    <xdr:colOff>0</xdr:colOff>
                    <xdr:row>47</xdr:row>
                    <xdr:rowOff>9575</xdr:rowOff>
                  </from>
                  <to>
                    <xdr:col>9</xdr:col>
                    <xdr:colOff>134048</xdr:colOff>
                    <xdr:row>47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3" name="Spinner 521">
              <controlPr defaultSize="0" autoPict="0">
                <anchor moveWithCells="1" sizeWithCells="1">
                  <from>
                    <xdr:col>12</xdr:col>
                    <xdr:colOff>335120</xdr:colOff>
                    <xdr:row>47</xdr:row>
                    <xdr:rowOff>38299</xdr:rowOff>
                  </from>
                  <to>
                    <xdr:col>12</xdr:col>
                    <xdr:colOff>464381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4" name="Spinner 522">
              <controlPr defaultSize="0" autoPict="0">
                <anchor moveWithCells="1" sizeWithCells="1">
                  <from>
                    <xdr:col>15</xdr:col>
                    <xdr:colOff>47874</xdr:colOff>
                    <xdr:row>47</xdr:row>
                    <xdr:rowOff>38299</xdr:rowOff>
                  </from>
                  <to>
                    <xdr:col>15</xdr:col>
                    <xdr:colOff>181923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5" name="Drop Down 523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6" name="Drop Down 524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7" name="Drop Down 525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8" name="Drop Down 526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9" name="Drop Down 527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40" name="Drop Down 528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1" name="Drop Down 529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2" name="Drop Down 530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3" name="Drop Down 531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4" name="Drop Down 532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5" name="Spinner 533">
              <controlPr defaultSize="0" autoPict="0">
                <anchor moveWithCells="1" sizeWithCells="1">
                  <from>
                    <xdr:col>7</xdr:col>
                    <xdr:colOff>450019</xdr:colOff>
                    <xdr:row>49</xdr:row>
                    <xdr:rowOff>28725</xdr:rowOff>
                  </from>
                  <to>
                    <xdr:col>7</xdr:col>
                    <xdr:colOff>579280</xdr:colOff>
                    <xdr:row>49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6" name="Spinner 534">
              <controlPr defaultSize="0" autoPict="0">
                <anchor moveWithCells="1" sizeWithCells="1">
                  <from>
                    <xdr:col>9</xdr:col>
                    <xdr:colOff>0</xdr:colOff>
                    <xdr:row>49</xdr:row>
                    <xdr:rowOff>9575</xdr:rowOff>
                  </from>
                  <to>
                    <xdr:col>9</xdr:col>
                    <xdr:colOff>134048</xdr:colOff>
                    <xdr:row>49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7" name="Spinner 535">
              <controlPr defaultSize="0" autoPict="0">
                <anchor moveWithCells="1" sizeWithCells="1">
                  <from>
                    <xdr:col>12</xdr:col>
                    <xdr:colOff>335120</xdr:colOff>
                    <xdr:row>49</xdr:row>
                    <xdr:rowOff>38299</xdr:rowOff>
                  </from>
                  <to>
                    <xdr:col>12</xdr:col>
                    <xdr:colOff>464381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8" name="Spinner 536">
              <controlPr defaultSize="0" autoPict="0">
                <anchor moveWithCells="1" sizeWithCells="1">
                  <from>
                    <xdr:col>15</xdr:col>
                    <xdr:colOff>47874</xdr:colOff>
                    <xdr:row>49</xdr:row>
                    <xdr:rowOff>38299</xdr:rowOff>
                  </from>
                  <to>
                    <xdr:col>15</xdr:col>
                    <xdr:colOff>181923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9" name="Drop Down 537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50" name="Drop Down 538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1" name="Drop Down 539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2" name="Drop Down 540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3" name="Drop Down 541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4" name="Drop Down 542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5" name="Drop Down 543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6" name="Drop Down 544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7" name="Drop Down 545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8" name="Drop Down 546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9" name="Spinner 547">
              <controlPr defaultSize="0" autoPict="0">
                <anchor moveWithCells="1" sizeWithCells="1">
                  <from>
                    <xdr:col>7</xdr:col>
                    <xdr:colOff>450019</xdr:colOff>
                    <xdr:row>51</xdr:row>
                    <xdr:rowOff>28725</xdr:rowOff>
                  </from>
                  <to>
                    <xdr:col>7</xdr:col>
                    <xdr:colOff>579280</xdr:colOff>
                    <xdr:row>51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60" name="Spinner 548">
              <controlPr defaultSize="0" autoPict="0">
                <anchor moveWithCells="1" sizeWithCells="1">
                  <from>
                    <xdr:col>9</xdr:col>
                    <xdr:colOff>0</xdr:colOff>
                    <xdr:row>51</xdr:row>
                    <xdr:rowOff>9575</xdr:rowOff>
                  </from>
                  <to>
                    <xdr:col>9</xdr:col>
                    <xdr:colOff>134048</xdr:colOff>
                    <xdr:row>51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1" name="Spinner 549">
              <controlPr defaultSize="0" autoPict="0">
                <anchor moveWithCells="1" sizeWithCells="1">
                  <from>
                    <xdr:col>12</xdr:col>
                    <xdr:colOff>335120</xdr:colOff>
                    <xdr:row>51</xdr:row>
                    <xdr:rowOff>38299</xdr:rowOff>
                  </from>
                  <to>
                    <xdr:col>12</xdr:col>
                    <xdr:colOff>464381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2" name="Spinner 550">
              <controlPr defaultSize="0" autoPict="0">
                <anchor moveWithCells="1" sizeWithCells="1">
                  <from>
                    <xdr:col>15</xdr:col>
                    <xdr:colOff>47874</xdr:colOff>
                    <xdr:row>51</xdr:row>
                    <xdr:rowOff>38299</xdr:rowOff>
                  </from>
                  <to>
                    <xdr:col>15</xdr:col>
                    <xdr:colOff>181923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3" name="Drop Down 551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4" name="Drop Down 552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5" name="Drop Down 553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6" name="Drop Down 554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7" name="Drop Down 555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8" name="Drop Down 556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9" name="Drop Down 557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70" name="Drop Down 558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1" name="Drop Down 559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2" name="Drop Down 560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3" name="Spinner 561">
              <controlPr defaultSize="0" autoPict="0">
                <anchor moveWithCells="1" sizeWithCells="1">
                  <from>
                    <xdr:col>7</xdr:col>
                    <xdr:colOff>450019</xdr:colOff>
                    <xdr:row>53</xdr:row>
                    <xdr:rowOff>28725</xdr:rowOff>
                  </from>
                  <to>
                    <xdr:col>7</xdr:col>
                    <xdr:colOff>579280</xdr:colOff>
                    <xdr:row>53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4" name="Spinner 562">
              <controlPr defaultSize="0" autoPict="0">
                <anchor moveWithCells="1" sizeWithCells="1">
                  <from>
                    <xdr:col>9</xdr:col>
                    <xdr:colOff>0</xdr:colOff>
                    <xdr:row>53</xdr:row>
                    <xdr:rowOff>9575</xdr:rowOff>
                  </from>
                  <to>
                    <xdr:col>9</xdr:col>
                    <xdr:colOff>134048</xdr:colOff>
                    <xdr:row>53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5" name="Spinner 563">
              <controlPr defaultSize="0" autoPict="0">
                <anchor moveWithCells="1" sizeWithCells="1">
                  <from>
                    <xdr:col>12</xdr:col>
                    <xdr:colOff>335120</xdr:colOff>
                    <xdr:row>53</xdr:row>
                    <xdr:rowOff>38299</xdr:rowOff>
                  </from>
                  <to>
                    <xdr:col>12</xdr:col>
                    <xdr:colOff>464381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6" name="Spinner 564">
              <controlPr defaultSize="0" autoPict="0">
                <anchor moveWithCells="1" sizeWithCells="1">
                  <from>
                    <xdr:col>15</xdr:col>
                    <xdr:colOff>47874</xdr:colOff>
                    <xdr:row>53</xdr:row>
                    <xdr:rowOff>38299</xdr:rowOff>
                  </from>
                  <to>
                    <xdr:col>15</xdr:col>
                    <xdr:colOff>181923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7" name="Drop Down 565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8" name="Drop Down 566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9" name="Drop Down 567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80" name="Drop Down 568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1" name="Drop Down 569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2" name="Drop Down 570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3" name="Drop Down 571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4" name="Drop Down 572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5" name="Drop Down 573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6" name="Drop Down 574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7" name="Spinner 575">
              <controlPr defaultSize="0" autoPict="0">
                <anchor moveWithCells="1" sizeWithCells="1">
                  <from>
                    <xdr:col>7</xdr:col>
                    <xdr:colOff>450019</xdr:colOff>
                    <xdr:row>55</xdr:row>
                    <xdr:rowOff>28725</xdr:rowOff>
                  </from>
                  <to>
                    <xdr:col>7</xdr:col>
                    <xdr:colOff>579280</xdr:colOff>
                    <xdr:row>55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8" name="Spinner 576">
              <controlPr defaultSize="0" autoPict="0">
                <anchor moveWithCells="1" sizeWithCells="1">
                  <from>
                    <xdr:col>9</xdr:col>
                    <xdr:colOff>0</xdr:colOff>
                    <xdr:row>55</xdr:row>
                    <xdr:rowOff>9575</xdr:rowOff>
                  </from>
                  <to>
                    <xdr:col>9</xdr:col>
                    <xdr:colOff>134048</xdr:colOff>
                    <xdr:row>55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9" name="Spinner 577">
              <controlPr defaultSize="0" autoPict="0">
                <anchor moveWithCells="1" sizeWithCells="1">
                  <from>
                    <xdr:col>12</xdr:col>
                    <xdr:colOff>335120</xdr:colOff>
                    <xdr:row>55</xdr:row>
                    <xdr:rowOff>38299</xdr:rowOff>
                  </from>
                  <to>
                    <xdr:col>12</xdr:col>
                    <xdr:colOff>464381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90" name="Spinner 578">
              <controlPr defaultSize="0" autoPict="0">
                <anchor moveWithCells="1" sizeWithCells="1">
                  <from>
                    <xdr:col>15</xdr:col>
                    <xdr:colOff>47874</xdr:colOff>
                    <xdr:row>55</xdr:row>
                    <xdr:rowOff>38299</xdr:rowOff>
                  </from>
                  <to>
                    <xdr:col>15</xdr:col>
                    <xdr:colOff>181923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1" name="Drop Down 579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2" name="Drop Down 580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3" name="Drop Down 581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4" name="Drop Down 582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5" name="Drop Down 583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6" name="Drop Down 584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7" name="Drop Down 585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8" name="Drop Down 586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9" name="Drop Down 587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200" name="Drop Down 588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1" name="Spinner 589">
              <controlPr defaultSize="0" autoPict="0">
                <anchor moveWithCells="1" sizeWithCells="1">
                  <from>
                    <xdr:col>7</xdr:col>
                    <xdr:colOff>450019</xdr:colOff>
                    <xdr:row>57</xdr:row>
                    <xdr:rowOff>28725</xdr:rowOff>
                  </from>
                  <to>
                    <xdr:col>7</xdr:col>
                    <xdr:colOff>579280</xdr:colOff>
                    <xdr:row>57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2" name="Spinner 590">
              <controlPr defaultSize="0" autoPict="0">
                <anchor moveWithCells="1" sizeWithCells="1">
                  <from>
                    <xdr:col>9</xdr:col>
                    <xdr:colOff>0</xdr:colOff>
                    <xdr:row>57</xdr:row>
                    <xdr:rowOff>9575</xdr:rowOff>
                  </from>
                  <to>
                    <xdr:col>9</xdr:col>
                    <xdr:colOff>134048</xdr:colOff>
                    <xdr:row>57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3" name="Spinner 591">
              <controlPr defaultSize="0" autoPict="0">
                <anchor moveWithCells="1" sizeWithCells="1">
                  <from>
                    <xdr:col>12</xdr:col>
                    <xdr:colOff>335120</xdr:colOff>
                    <xdr:row>57</xdr:row>
                    <xdr:rowOff>38299</xdr:rowOff>
                  </from>
                  <to>
                    <xdr:col>12</xdr:col>
                    <xdr:colOff>464381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4" name="Spinner 592">
              <controlPr defaultSize="0" autoPict="0">
                <anchor moveWithCells="1" sizeWithCells="1">
                  <from>
                    <xdr:col>15</xdr:col>
                    <xdr:colOff>47874</xdr:colOff>
                    <xdr:row>57</xdr:row>
                    <xdr:rowOff>38299</xdr:rowOff>
                  </from>
                  <to>
                    <xdr:col>15</xdr:col>
                    <xdr:colOff>181923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5" name="Drop Down 593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6" name="Drop Down 594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7" name="Drop Down 595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8" name="Drop Down 596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9" name="Drop Down 597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10" name="Drop Down 598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1" name="Drop Down 599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2" name="Drop Down 600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3" name="Drop Down 601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4" name="Drop Down 602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5" name="Spinner 603">
              <controlPr defaultSize="0" autoPict="0">
                <anchor moveWithCells="1" sizeWithCells="1">
                  <from>
                    <xdr:col>7</xdr:col>
                    <xdr:colOff>450019</xdr:colOff>
                    <xdr:row>59</xdr:row>
                    <xdr:rowOff>28725</xdr:rowOff>
                  </from>
                  <to>
                    <xdr:col>7</xdr:col>
                    <xdr:colOff>579280</xdr:colOff>
                    <xdr:row>59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6" name="Spinner 604">
              <controlPr defaultSize="0" autoPict="0">
                <anchor moveWithCells="1" sizeWithCells="1">
                  <from>
                    <xdr:col>9</xdr:col>
                    <xdr:colOff>0</xdr:colOff>
                    <xdr:row>59</xdr:row>
                    <xdr:rowOff>9575</xdr:rowOff>
                  </from>
                  <to>
                    <xdr:col>9</xdr:col>
                    <xdr:colOff>134048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7" name="Spinner 605">
              <controlPr defaultSize="0" autoPict="0">
                <anchor moveWithCells="1" sizeWithCells="1">
                  <from>
                    <xdr:col>12</xdr:col>
                    <xdr:colOff>335120</xdr:colOff>
                    <xdr:row>59</xdr:row>
                    <xdr:rowOff>38299</xdr:rowOff>
                  </from>
                  <to>
                    <xdr:col>12</xdr:col>
                    <xdr:colOff>464381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8" name="Spinner 606">
              <controlPr defaultSize="0" autoPict="0">
                <anchor moveWithCells="1" sizeWithCells="1">
                  <from>
                    <xdr:col>15</xdr:col>
                    <xdr:colOff>47874</xdr:colOff>
                    <xdr:row>59</xdr:row>
                    <xdr:rowOff>38299</xdr:rowOff>
                  </from>
                  <to>
                    <xdr:col>15</xdr:col>
                    <xdr:colOff>181923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9" name="Drop Down 607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20" name="Drop Down 608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1" name="Drop Down 609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2" name="Drop Down 610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3" name="Drop Down 611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4" name="Drop Down 612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5" name="Drop Down 613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6" name="Drop Down 614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7" name="Drop Down 615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8" name="Drop Down 616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9" name="Spinner 617">
              <controlPr defaultSize="0" autoPict="0">
                <anchor moveWithCells="1" sizeWithCells="1">
                  <from>
                    <xdr:col>7</xdr:col>
                    <xdr:colOff>450019</xdr:colOff>
                    <xdr:row>61</xdr:row>
                    <xdr:rowOff>28725</xdr:rowOff>
                  </from>
                  <to>
                    <xdr:col>7</xdr:col>
                    <xdr:colOff>579280</xdr:colOff>
                    <xdr:row>61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30" name="Spinner 618">
              <controlPr defaultSize="0" autoPict="0">
                <anchor moveWithCells="1" sizeWithCells="1">
                  <from>
                    <xdr:col>9</xdr:col>
                    <xdr:colOff>0</xdr:colOff>
                    <xdr:row>61</xdr:row>
                    <xdr:rowOff>9575</xdr:rowOff>
                  </from>
                  <to>
                    <xdr:col>9</xdr:col>
                    <xdr:colOff>134048</xdr:colOff>
                    <xdr:row>61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1" name="Spinner 619">
              <controlPr defaultSize="0" autoPict="0">
                <anchor moveWithCells="1" sizeWithCells="1">
                  <from>
                    <xdr:col>12</xdr:col>
                    <xdr:colOff>335120</xdr:colOff>
                    <xdr:row>61</xdr:row>
                    <xdr:rowOff>38299</xdr:rowOff>
                  </from>
                  <to>
                    <xdr:col>12</xdr:col>
                    <xdr:colOff>464381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2" name="Spinner 620">
              <controlPr defaultSize="0" autoPict="0">
                <anchor moveWithCells="1" sizeWithCells="1">
                  <from>
                    <xdr:col>15</xdr:col>
                    <xdr:colOff>47874</xdr:colOff>
                    <xdr:row>61</xdr:row>
                    <xdr:rowOff>38299</xdr:rowOff>
                  </from>
                  <to>
                    <xdr:col>15</xdr:col>
                    <xdr:colOff>181923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3" name="Drop Down 621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4" name="Drop Down 622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5" name="Drop Down 623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6" name="Drop Down 624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7" name="Drop Down 625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8" name="Drop Down 626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9" name="Drop Down 627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40" name="Drop Down 628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1" name="Drop Down 629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2" name="Drop Down 630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3" name="Spinner 631">
              <controlPr defaultSize="0" autoPict="0">
                <anchor moveWithCells="1" sizeWithCells="1">
                  <from>
                    <xdr:col>7</xdr:col>
                    <xdr:colOff>450019</xdr:colOff>
                    <xdr:row>63</xdr:row>
                    <xdr:rowOff>28725</xdr:rowOff>
                  </from>
                  <to>
                    <xdr:col>7</xdr:col>
                    <xdr:colOff>579280</xdr:colOff>
                    <xdr:row>63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4" name="Spinner 632">
              <controlPr defaultSize="0" autoPict="0">
                <anchor moveWithCells="1" sizeWithCells="1">
                  <from>
                    <xdr:col>9</xdr:col>
                    <xdr:colOff>0</xdr:colOff>
                    <xdr:row>63</xdr:row>
                    <xdr:rowOff>9575</xdr:rowOff>
                  </from>
                  <to>
                    <xdr:col>9</xdr:col>
                    <xdr:colOff>134048</xdr:colOff>
                    <xdr:row>63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5" name="Spinner 633">
              <controlPr defaultSize="0" autoPict="0">
                <anchor moveWithCells="1" sizeWithCells="1">
                  <from>
                    <xdr:col>12</xdr:col>
                    <xdr:colOff>335120</xdr:colOff>
                    <xdr:row>63</xdr:row>
                    <xdr:rowOff>38299</xdr:rowOff>
                  </from>
                  <to>
                    <xdr:col>12</xdr:col>
                    <xdr:colOff>464381</xdr:colOff>
                    <xdr:row>63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6" name="Spinner 634">
              <controlPr defaultSize="0" autoPict="0">
                <anchor moveWithCells="1" sizeWithCells="1">
                  <from>
                    <xdr:col>15</xdr:col>
                    <xdr:colOff>47874</xdr:colOff>
                    <xdr:row>63</xdr:row>
                    <xdr:rowOff>38299</xdr:rowOff>
                  </from>
                  <to>
                    <xdr:col>15</xdr:col>
                    <xdr:colOff>181923</xdr:colOff>
                    <xdr:row>63</xdr:row>
                    <xdr:rowOff>229797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Disc">
    <tabColor rgb="FF92D050"/>
  </sheetPr>
  <dimension ref="A1:AI41"/>
  <sheetViews>
    <sheetView zoomScaleNormal="100" workbookViewId="0">
      <pane ySplit="1" topLeftCell="A20" activePane="bottomLeft" state="frozen"/>
      <selection pane="bottomLeft" activeCell="B42" sqref="B4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10" max="10" width="9.3984375" bestFit="1" customWidth="1"/>
    <col min="21" max="21" width="24.1328125" customWidth="1"/>
    <col min="23" max="23" width="9.73046875" bestFit="1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  <col min="29" max="29" width="84.59765625" customWidth="1"/>
  </cols>
  <sheetData>
    <row r="1" spans="1:35" x14ac:dyDescent="0.35">
      <c r="A1" s="577"/>
      <c r="B1" s="518" t="s">
        <v>1198</v>
      </c>
      <c r="C1" t="s">
        <v>355</v>
      </c>
      <c r="D1" s="248" t="s">
        <v>489</v>
      </c>
      <c r="E1" t="s">
        <v>174</v>
      </c>
      <c r="F1" t="s">
        <v>175</v>
      </c>
      <c r="G1" t="s">
        <v>156</v>
      </c>
      <c r="H1" t="s">
        <v>356</v>
      </c>
      <c r="I1" t="s">
        <v>401</v>
      </c>
      <c r="J1" t="s">
        <v>226</v>
      </c>
      <c r="K1" t="s">
        <v>157</v>
      </c>
      <c r="L1" t="s">
        <v>158</v>
      </c>
      <c r="M1" t="s">
        <v>103</v>
      </c>
      <c r="N1" t="s">
        <v>394</v>
      </c>
      <c r="O1" t="s">
        <v>395</v>
      </c>
      <c r="P1" t="s">
        <v>396</v>
      </c>
      <c r="Q1" t="s">
        <v>402</v>
      </c>
      <c r="R1" t="s">
        <v>248</v>
      </c>
      <c r="S1" t="s">
        <v>398</v>
      </c>
      <c r="T1" t="s">
        <v>399</v>
      </c>
      <c r="U1" s="518" t="s">
        <v>1197</v>
      </c>
      <c r="V1" t="s">
        <v>383</v>
      </c>
      <c r="W1" t="s">
        <v>473</v>
      </c>
      <c r="X1" t="s">
        <v>356</v>
      </c>
      <c r="Y1" t="s">
        <v>474</v>
      </c>
      <c r="Z1" t="s">
        <v>165</v>
      </c>
      <c r="AA1" t="s">
        <v>402</v>
      </c>
      <c r="AB1" t="s">
        <v>475</v>
      </c>
      <c r="AC1" t="s">
        <v>456</v>
      </c>
      <c r="AF1" s="518" t="s">
        <v>1199</v>
      </c>
      <c r="AG1" s="518" t="s">
        <v>222</v>
      </c>
      <c r="AH1" s="518" t="s">
        <v>1200</v>
      </c>
      <c r="AI1" s="518" t="s">
        <v>1201</v>
      </c>
    </row>
    <row r="2" spans="1:35" x14ac:dyDescent="0.35">
      <c r="A2">
        <v>1</v>
      </c>
      <c r="E2" s="20"/>
      <c r="H2">
        <f t="shared" ref="H2:H21" si="0">E2*G2</f>
        <v>0</v>
      </c>
      <c r="I2">
        <v>1</v>
      </c>
      <c r="J2" s="517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31" si="3">IF(ROUND(10*K2/_Pat_Gewicht,1) = 0,ROUND(10*K2/_Pat_Gewicht,2),ROUND(10*K2/_Pat_Gewicht,1)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31" si="8">IF(U2=0,"",H2&amp;" "&amp;F2&amp;" ("&amp;ROUND(K2*10/_Pat_Gewicht,AD2)&amp;"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"&amp;IF(Q2=0,"","("&amp;ROUND(PedBerMedDisc!H2/PedBerMedDisc!N2,2)&amp;" "&amp;PedBerMedDisc!F2&amp;"/ml)"))</f>
        <v/>
      </c>
      <c r="AA2" t="str">
        <f>IF(OR(Q2=0,Z2=""),"","in "&amp;Q2&amp;" min")</f>
        <v/>
      </c>
      <c r="AB2" t="str">
        <f>IF(GlobBerOpm!C7=0,"",GlobBerOpm!C7)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31" si="9">K2*10/_Pat_Gewicht</f>
        <v>0</v>
      </c>
    </row>
    <row r="3" spans="1:35" x14ac:dyDescent="0.35">
      <c r="A3">
        <v>2</v>
      </c>
      <c r="E3" s="20"/>
      <c r="H3">
        <f t="shared" si="0"/>
        <v>0</v>
      </c>
      <c r="I3">
        <v>1</v>
      </c>
      <c r="J3" s="517">
        <f t="shared" si="1"/>
        <v>0</v>
      </c>
      <c r="K3">
        <f t="shared" si="2"/>
        <v>0</v>
      </c>
      <c r="M3">
        <f t="shared" si="3"/>
        <v>0</v>
      </c>
      <c r="P3">
        <f t="shared" ref="P3:P21" si="10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517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517" t="str">
        <f>IF(P3=0,"","opl: "&amp;N3&amp;" mL "&amp;INDEX(tblMedDiscOplVl,O3,1)&amp;" "&amp;IF(Q3=0,"","("&amp;ROUND(PedBerMedDisc!H3/PedBerMedDisc!N3,2)&amp;" "&amp;PedBerMedDisc!F3&amp;"/ml)"))</f>
        <v/>
      </c>
      <c r="AA3" t="str">
        <f t="shared" ref="AA3:AA21" si="13">IF(OR(Q3=0,Z3=""),"","in "&amp;Q3&amp;" min")</f>
        <v/>
      </c>
      <c r="AB3" t="str">
        <f>IF(GlobBerOpm!C8=0,"",GlobBerOpm!C8)</f>
        <v/>
      </c>
      <c r="AC3" t="str">
        <f>IF(OR(V3="",V3=0),"",TRIM(V3)&amp;"||"&amp;TRIM(W3)&amp;"||"&amp;TRIM(X3)&amp;"||"&amp;TRIM(Y3)&amp;"||"&amp;TRIM(Z3)&amp;"||"&amp;TRIM(AA3)&amp;"||"&amp;TRIM(AB3))</f>
        <v/>
      </c>
      <c r="AD3">
        <f t="shared" ref="AD3:AD21" si="14">IF(AE3&gt;=10,0,IF(AE3&gt;=1,1,IF(AE3&gt;=0,2,IF(AE3&gt;=0.1,3,IF(AE3&gt;=0.01,4,5)))))</f>
        <v>2</v>
      </c>
      <c r="AE3">
        <f t="shared" si="9"/>
        <v>0</v>
      </c>
    </row>
    <row r="4" spans="1:35" x14ac:dyDescent="0.35">
      <c r="A4">
        <v>3</v>
      </c>
      <c r="E4" s="20"/>
      <c r="H4">
        <f t="shared" si="0"/>
        <v>0</v>
      </c>
      <c r="I4">
        <v>1</v>
      </c>
      <c r="J4" s="517">
        <f t="shared" si="1"/>
        <v>0</v>
      </c>
      <c r="K4">
        <f t="shared" si="2"/>
        <v>0</v>
      </c>
      <c r="M4">
        <f t="shared" si="3"/>
        <v>0</v>
      </c>
      <c r="P4">
        <f t="shared" si="10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517" t="str">
        <f t="shared" si="7"/>
        <v/>
      </c>
      <c r="X4" t="str">
        <f t="shared" si="8"/>
        <v/>
      </c>
      <c r="Y4" t="str">
        <f t="shared" si="12"/>
        <v/>
      </c>
      <c r="Z4" s="517" t="str">
        <f>IF(P4=0,"","opl: "&amp;N4&amp;" mL "&amp;INDEX(tblMedDiscOplVl,O4,1)&amp;" "&amp;IF(Q4=0,"","("&amp;ROUND(PedBerMedDisc!H4/PedBerMedDisc!N4,2)&amp;" "&amp;PedBerMedDisc!F4&amp;"/ml)"))</f>
        <v/>
      </c>
      <c r="AA4" t="str">
        <f t="shared" si="13"/>
        <v/>
      </c>
      <c r="AB4" t="str">
        <f>IF(GlobBerOpm!C9=0,"",GlobBerOpm!C9)</f>
        <v/>
      </c>
      <c r="AC4" t="str">
        <f t="shared" ref="AC4:AC21" si="15">IF(OR(V4="",V4=0),"",TRIM(V4)&amp;"||"&amp;TRIM(W4)&amp;"||"&amp;TRIM(X4)&amp;"||"&amp;TRIM(Y4)&amp;"||"&amp;TRIM(Z4)&amp;"||"&amp;TRIM(AA4)&amp;"||"&amp;TRIM(AB4))</f>
        <v/>
      </c>
      <c r="AD4">
        <f t="shared" si="14"/>
        <v>2</v>
      </c>
      <c r="AE4">
        <f t="shared" si="9"/>
        <v>0</v>
      </c>
    </row>
    <row r="5" spans="1:35" x14ac:dyDescent="0.35">
      <c r="A5">
        <v>4</v>
      </c>
      <c r="E5" s="20"/>
      <c r="H5">
        <f t="shared" si="0"/>
        <v>0</v>
      </c>
      <c r="I5">
        <v>1</v>
      </c>
      <c r="J5" s="517">
        <f t="shared" si="1"/>
        <v>0</v>
      </c>
      <c r="K5">
        <f t="shared" si="2"/>
        <v>0</v>
      </c>
      <c r="M5">
        <f t="shared" si="3"/>
        <v>0</v>
      </c>
      <c r="P5">
        <f t="shared" si="10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517" t="str">
        <f t="shared" si="7"/>
        <v/>
      </c>
      <c r="X5" t="str">
        <f t="shared" si="8"/>
        <v/>
      </c>
      <c r="Y5" t="str">
        <f t="shared" si="12"/>
        <v/>
      </c>
      <c r="Z5" s="517" t="str">
        <f>IF(P5=0,"","opl: "&amp;N5&amp;" mL "&amp;INDEX(tblMedDiscOplVl,O5,1)&amp;" "&amp;IF(Q5=0,"","("&amp;ROUND(PedBerMedDisc!H5/PedBerMedDisc!N5,2)&amp;" "&amp;PedBerMedDisc!F5&amp;"/ml)"))</f>
        <v/>
      </c>
      <c r="AA5" t="str">
        <f t="shared" si="13"/>
        <v/>
      </c>
      <c r="AB5" t="str">
        <f>IF(GlobBerOpm!C10=0,"",GlobBerOpm!C10)</f>
        <v/>
      </c>
      <c r="AC5" t="str">
        <f t="shared" si="15"/>
        <v/>
      </c>
      <c r="AD5">
        <f t="shared" si="14"/>
        <v>2</v>
      </c>
      <c r="AE5">
        <f t="shared" si="9"/>
        <v>0</v>
      </c>
    </row>
    <row r="6" spans="1:35" x14ac:dyDescent="0.35">
      <c r="A6" s="577">
        <v>5</v>
      </c>
      <c r="E6" s="20"/>
      <c r="H6">
        <f t="shared" si="0"/>
        <v>0</v>
      </c>
      <c r="I6">
        <v>1</v>
      </c>
      <c r="J6" s="517">
        <f t="shared" si="1"/>
        <v>0</v>
      </c>
      <c r="K6">
        <f t="shared" si="2"/>
        <v>0</v>
      </c>
      <c r="M6">
        <f t="shared" si="3"/>
        <v>0</v>
      </c>
      <c r="P6">
        <f t="shared" si="10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517" t="str">
        <f t="shared" si="7"/>
        <v/>
      </c>
      <c r="X6" t="str">
        <f t="shared" si="8"/>
        <v/>
      </c>
      <c r="Y6" t="str">
        <f t="shared" si="12"/>
        <v/>
      </c>
      <c r="Z6" s="517" t="str">
        <f>IF(P6=0,"","opl: "&amp;N6&amp;" mL "&amp;INDEX(tblMedDiscOplVl,O6,1)&amp;" "&amp;IF(Q6=0,"","("&amp;ROUND(PedBerMedDisc!H6/PedBerMedDisc!N6,2)&amp;" "&amp;PedBerMedDisc!F6&amp;"/ml)"))</f>
        <v/>
      </c>
      <c r="AA6" t="str">
        <f t="shared" si="13"/>
        <v/>
      </c>
      <c r="AB6" t="str">
        <f>IF(GlobBerOpm!C11=0,"",GlobBerOpm!C11)</f>
        <v/>
      </c>
      <c r="AC6" t="str">
        <f t="shared" si="15"/>
        <v/>
      </c>
      <c r="AD6">
        <f t="shared" si="14"/>
        <v>2</v>
      </c>
      <c r="AE6">
        <f t="shared" si="9"/>
        <v>0</v>
      </c>
    </row>
    <row r="7" spans="1:35" x14ac:dyDescent="0.35">
      <c r="A7">
        <v>6</v>
      </c>
      <c r="E7" s="20"/>
      <c r="H7">
        <f t="shared" si="0"/>
        <v>0</v>
      </c>
      <c r="I7">
        <v>1</v>
      </c>
      <c r="J7" s="517">
        <f t="shared" si="1"/>
        <v>0</v>
      </c>
      <c r="K7">
        <f t="shared" si="2"/>
        <v>0</v>
      </c>
      <c r="M7">
        <f t="shared" si="3"/>
        <v>0</v>
      </c>
      <c r="P7">
        <f t="shared" si="10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517" t="str">
        <f t="shared" si="7"/>
        <v/>
      </c>
      <c r="X7" t="str">
        <f t="shared" si="8"/>
        <v/>
      </c>
      <c r="Y7" t="str">
        <f t="shared" si="12"/>
        <v/>
      </c>
      <c r="Z7" s="517" t="str">
        <f>IF(P7=0,"","opl: "&amp;N7&amp;" mL "&amp;INDEX(tblMedDiscOplVl,O7,1)&amp;" "&amp;IF(Q7=0,"","("&amp;ROUND(PedBerMedDisc!H7/PedBerMedDisc!N7,2)&amp;" "&amp;PedBerMedDisc!F7&amp;"/ml)"))</f>
        <v/>
      </c>
      <c r="AA7" t="str">
        <f t="shared" si="13"/>
        <v/>
      </c>
      <c r="AB7" t="str">
        <f>IF(GlobBerOpm!C12=0,"",GlobBerOpm!C12)</f>
        <v/>
      </c>
      <c r="AC7" t="str">
        <f t="shared" si="15"/>
        <v/>
      </c>
      <c r="AD7">
        <f t="shared" si="14"/>
        <v>2</v>
      </c>
      <c r="AE7">
        <f t="shared" si="9"/>
        <v>0</v>
      </c>
    </row>
    <row r="8" spans="1:35" x14ac:dyDescent="0.35">
      <c r="A8">
        <v>7</v>
      </c>
      <c r="E8" s="20"/>
      <c r="H8">
        <f t="shared" si="0"/>
        <v>0</v>
      </c>
      <c r="I8">
        <v>1</v>
      </c>
      <c r="J8" s="517">
        <f t="shared" si="1"/>
        <v>0</v>
      </c>
      <c r="K8">
        <f t="shared" si="2"/>
        <v>0</v>
      </c>
      <c r="M8">
        <f t="shared" si="3"/>
        <v>0</v>
      </c>
      <c r="P8">
        <f t="shared" si="10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517" t="str">
        <f t="shared" si="7"/>
        <v/>
      </c>
      <c r="X8" t="str">
        <f t="shared" si="8"/>
        <v/>
      </c>
      <c r="Y8" t="str">
        <f t="shared" si="12"/>
        <v/>
      </c>
      <c r="Z8" s="517" t="str">
        <f>IF(P8=0,"","opl: "&amp;N8&amp;" mL "&amp;INDEX(tblMedDiscOplVl,O8,1)&amp;" "&amp;IF(Q8=0,"","("&amp;ROUND(PedBerMedDisc!H8/PedBerMedDisc!N8,2)&amp;" "&amp;PedBerMedDisc!F8&amp;"/ml)"))</f>
        <v/>
      </c>
      <c r="AA8" t="str">
        <f t="shared" si="13"/>
        <v/>
      </c>
      <c r="AB8" t="str">
        <f>IF(GlobBerOpm!C13=0,"",GlobBerOpm!C13)</f>
        <v/>
      </c>
      <c r="AC8" t="str">
        <f t="shared" si="15"/>
        <v/>
      </c>
      <c r="AD8">
        <f t="shared" si="14"/>
        <v>2</v>
      </c>
      <c r="AE8">
        <f t="shared" si="9"/>
        <v>0</v>
      </c>
    </row>
    <row r="9" spans="1:35" x14ac:dyDescent="0.35">
      <c r="A9">
        <v>8</v>
      </c>
      <c r="E9" s="20"/>
      <c r="H9">
        <f t="shared" si="0"/>
        <v>0</v>
      </c>
      <c r="I9">
        <v>1</v>
      </c>
      <c r="J9" s="517">
        <f t="shared" si="1"/>
        <v>0</v>
      </c>
      <c r="K9">
        <f t="shared" si="2"/>
        <v>0</v>
      </c>
      <c r="M9">
        <f t="shared" si="3"/>
        <v>0</v>
      </c>
      <c r="P9">
        <f t="shared" si="10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517" t="str">
        <f t="shared" si="7"/>
        <v/>
      </c>
      <c r="X9" t="str">
        <f t="shared" si="8"/>
        <v/>
      </c>
      <c r="Y9" t="str">
        <f t="shared" si="12"/>
        <v/>
      </c>
      <c r="Z9" s="517" t="str">
        <f>IF(P9=0,"","opl: "&amp;N9&amp;" mL "&amp;INDEX(tblMedDiscOplVl,O9,1)&amp;" "&amp;IF(Q9=0,"","("&amp;ROUND(PedBerMedDisc!H9/PedBerMedDisc!N9,2)&amp;" "&amp;PedBerMedDisc!F9&amp;"/ml)"))</f>
        <v/>
      </c>
      <c r="AA9" t="str">
        <f t="shared" si="13"/>
        <v/>
      </c>
      <c r="AB9" t="str">
        <f>IF(GlobBerOpm!C14=0,"",GlobBerOpm!C14)</f>
        <v/>
      </c>
      <c r="AC9" t="str">
        <f t="shared" si="15"/>
        <v/>
      </c>
      <c r="AD9">
        <f t="shared" si="14"/>
        <v>2</v>
      </c>
      <c r="AE9">
        <f t="shared" si="9"/>
        <v>0</v>
      </c>
    </row>
    <row r="10" spans="1:35" x14ac:dyDescent="0.35">
      <c r="A10">
        <v>9</v>
      </c>
      <c r="E10" s="20"/>
      <c r="H10">
        <f t="shared" si="0"/>
        <v>0</v>
      </c>
      <c r="I10">
        <v>1</v>
      </c>
      <c r="J10" s="517">
        <f t="shared" si="1"/>
        <v>0</v>
      </c>
      <c r="K10">
        <f t="shared" si="2"/>
        <v>0</v>
      </c>
      <c r="M10">
        <f t="shared" si="3"/>
        <v>0</v>
      </c>
      <c r="P10">
        <f t="shared" si="10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517" t="str">
        <f t="shared" si="7"/>
        <v/>
      </c>
      <c r="X10" t="str">
        <f t="shared" si="8"/>
        <v/>
      </c>
      <c r="Y10" t="str">
        <f t="shared" si="12"/>
        <v/>
      </c>
      <c r="Z10" s="517" t="str">
        <f>IF(P10=0,"","opl: "&amp;N10&amp;" mL "&amp;INDEX(tblMedDiscOplVl,O10,1)&amp;" "&amp;IF(Q10=0,"","("&amp;ROUND(PedBerMedDisc!H10/PedBerMedDisc!N10,2)&amp;" "&amp;PedBerMedDisc!F10&amp;"/ml)"))</f>
        <v/>
      </c>
      <c r="AA10" t="str">
        <f t="shared" si="13"/>
        <v/>
      </c>
      <c r="AB10" t="str">
        <f>IF(GlobBerOpm!C15=0,"",GlobBerOpm!C15)</f>
        <v/>
      </c>
      <c r="AC10" t="str">
        <f t="shared" si="15"/>
        <v/>
      </c>
      <c r="AD10">
        <f t="shared" si="14"/>
        <v>2</v>
      </c>
      <c r="AE10">
        <f t="shared" si="9"/>
        <v>0</v>
      </c>
    </row>
    <row r="11" spans="1:35" x14ac:dyDescent="0.35">
      <c r="A11">
        <v>10</v>
      </c>
      <c r="E11" s="20"/>
      <c r="H11">
        <f t="shared" si="0"/>
        <v>0</v>
      </c>
      <c r="I11">
        <v>1</v>
      </c>
      <c r="J11" s="517">
        <f t="shared" si="1"/>
        <v>0</v>
      </c>
      <c r="K11">
        <f t="shared" si="2"/>
        <v>0</v>
      </c>
      <c r="M11">
        <f t="shared" si="3"/>
        <v>0</v>
      </c>
      <c r="P11">
        <f t="shared" si="10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517" t="str">
        <f t="shared" si="7"/>
        <v/>
      </c>
      <c r="X11" t="str">
        <f t="shared" si="8"/>
        <v/>
      </c>
      <c r="Y11" t="str">
        <f t="shared" si="12"/>
        <v/>
      </c>
      <c r="Z11" s="517" t="str">
        <f>IF(P11=0,"","opl: "&amp;N11&amp;" mL "&amp;INDEX(tblMedDiscOplVl,O11,1)&amp;" "&amp;IF(Q11=0,"","("&amp;ROUND(PedBerMedDisc!H11/PedBerMedDisc!N11,2)&amp;" "&amp;PedBerMedDisc!F11&amp;"/ml)"))</f>
        <v/>
      </c>
      <c r="AA11" t="str">
        <f t="shared" si="13"/>
        <v/>
      </c>
      <c r="AB11" t="str">
        <f>IF(GlobBerOpm!C16=0,"",GlobBerOpm!C16)</f>
        <v/>
      </c>
      <c r="AC11" t="str">
        <f t="shared" si="15"/>
        <v/>
      </c>
      <c r="AD11">
        <f t="shared" si="14"/>
        <v>2</v>
      </c>
      <c r="AE11">
        <f t="shared" si="9"/>
        <v>0</v>
      </c>
    </row>
    <row r="12" spans="1:35" x14ac:dyDescent="0.35">
      <c r="A12">
        <v>11</v>
      </c>
      <c r="E12" s="20"/>
      <c r="H12">
        <f t="shared" si="0"/>
        <v>0</v>
      </c>
      <c r="I12">
        <v>1</v>
      </c>
      <c r="J12" s="517">
        <f t="shared" si="1"/>
        <v>0</v>
      </c>
      <c r="K12">
        <f t="shared" si="2"/>
        <v>0</v>
      </c>
      <c r="M12">
        <f t="shared" si="3"/>
        <v>0</v>
      </c>
      <c r="P12">
        <f t="shared" si="10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517" t="str">
        <f t="shared" si="7"/>
        <v/>
      </c>
      <c r="X12" t="str">
        <f t="shared" si="8"/>
        <v/>
      </c>
      <c r="Y12" t="str">
        <f t="shared" si="12"/>
        <v/>
      </c>
      <c r="Z12" s="517" t="str">
        <f>IF(P12=0,"","opl: "&amp;N12&amp;" mL "&amp;INDEX(tblMedDiscOplVl,O12,1)&amp;" "&amp;IF(Q12=0,"","("&amp;ROUND(PedBerMedDisc!H12/PedBerMedDisc!N12,2)&amp;" "&amp;PedBerMedDisc!F12&amp;"/ml)"))</f>
        <v/>
      </c>
      <c r="AA12" t="str">
        <f t="shared" si="13"/>
        <v/>
      </c>
      <c r="AB12" t="str">
        <f>IF(GlobBerOpm!C17=0,"",GlobBerOpm!C17)</f>
        <v/>
      </c>
      <c r="AC12" t="str">
        <f t="shared" si="15"/>
        <v/>
      </c>
      <c r="AD12">
        <f t="shared" si="14"/>
        <v>2</v>
      </c>
      <c r="AE12">
        <f t="shared" si="9"/>
        <v>0</v>
      </c>
    </row>
    <row r="13" spans="1:35" x14ac:dyDescent="0.35">
      <c r="A13">
        <v>12</v>
      </c>
      <c r="E13" s="20"/>
      <c r="H13">
        <f t="shared" si="0"/>
        <v>0</v>
      </c>
      <c r="I13">
        <v>1</v>
      </c>
      <c r="J13" s="517">
        <f t="shared" si="1"/>
        <v>0</v>
      </c>
      <c r="K13">
        <f t="shared" si="2"/>
        <v>0</v>
      </c>
      <c r="M13">
        <f t="shared" si="3"/>
        <v>0</v>
      </c>
      <c r="P13">
        <f t="shared" si="10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517" t="str">
        <f t="shared" si="7"/>
        <v/>
      </c>
      <c r="X13" t="str">
        <f t="shared" si="8"/>
        <v/>
      </c>
      <c r="Y13" t="str">
        <f t="shared" si="12"/>
        <v/>
      </c>
      <c r="Z13" s="517" t="str">
        <f>IF(P13=0,"","opl: "&amp;N13&amp;" mL "&amp;INDEX(tblMedDiscOplVl,O13,1)&amp;" "&amp;IF(Q13=0,"","("&amp;ROUND(PedBerMedDisc!H13/PedBerMedDisc!N13,2)&amp;" "&amp;PedBerMedDisc!F13&amp;"/ml)"))</f>
        <v/>
      </c>
      <c r="AA13" t="str">
        <f t="shared" si="13"/>
        <v/>
      </c>
      <c r="AB13" t="str">
        <f>IF(GlobBerOpm!C18=0,"",GlobBerOpm!C18)</f>
        <v/>
      </c>
      <c r="AC13" t="str">
        <f t="shared" si="15"/>
        <v/>
      </c>
      <c r="AD13">
        <f t="shared" si="14"/>
        <v>2</v>
      </c>
      <c r="AE13">
        <f t="shared" si="9"/>
        <v>0</v>
      </c>
    </row>
    <row r="14" spans="1:35" x14ac:dyDescent="0.35">
      <c r="A14">
        <v>13</v>
      </c>
      <c r="E14" s="20"/>
      <c r="H14">
        <f t="shared" si="0"/>
        <v>0</v>
      </c>
      <c r="I14">
        <v>1</v>
      </c>
      <c r="J14" s="517">
        <f t="shared" si="1"/>
        <v>0</v>
      </c>
      <c r="K14">
        <f t="shared" si="2"/>
        <v>0</v>
      </c>
      <c r="M14">
        <f t="shared" si="3"/>
        <v>0</v>
      </c>
      <c r="P14">
        <f t="shared" si="10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517" t="str">
        <f t="shared" si="7"/>
        <v/>
      </c>
      <c r="X14" t="str">
        <f t="shared" si="8"/>
        <v/>
      </c>
      <c r="Y14" t="str">
        <f t="shared" si="12"/>
        <v/>
      </c>
      <c r="Z14" s="517" t="str">
        <f>IF(P14=0,"","opl: "&amp;N14&amp;" mL "&amp;INDEX(tblMedDiscOplVl,O14,1)&amp;" "&amp;IF(Q14=0,"","("&amp;ROUND(PedBerMedDisc!H14/PedBerMedDisc!N14,2)&amp;" "&amp;PedBerMedDisc!F14&amp;"/ml)"))</f>
        <v/>
      </c>
      <c r="AA14" t="str">
        <f t="shared" si="13"/>
        <v/>
      </c>
      <c r="AB14" t="str">
        <f>IF(GlobBerOpm!C19=0,"",GlobBerOpm!C19)</f>
        <v/>
      </c>
      <c r="AC14" t="str">
        <f t="shared" si="15"/>
        <v/>
      </c>
      <c r="AD14">
        <f t="shared" si="14"/>
        <v>2</v>
      </c>
      <c r="AE14">
        <f t="shared" si="9"/>
        <v>0</v>
      </c>
    </row>
    <row r="15" spans="1:35" x14ac:dyDescent="0.35">
      <c r="A15">
        <v>14</v>
      </c>
      <c r="E15" s="20"/>
      <c r="H15">
        <f t="shared" si="0"/>
        <v>0</v>
      </c>
      <c r="I15">
        <v>1</v>
      </c>
      <c r="J15" s="517">
        <f t="shared" si="1"/>
        <v>0</v>
      </c>
      <c r="K15">
        <f t="shared" si="2"/>
        <v>0</v>
      </c>
      <c r="M15">
        <f t="shared" si="3"/>
        <v>0</v>
      </c>
      <c r="P15">
        <f t="shared" si="10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517" t="str">
        <f t="shared" si="7"/>
        <v/>
      </c>
      <c r="X15" t="str">
        <f t="shared" si="8"/>
        <v/>
      </c>
      <c r="Y15" t="str">
        <f t="shared" si="12"/>
        <v/>
      </c>
      <c r="Z15" s="517" t="str">
        <f>IF(P15=0,"","opl: "&amp;N15&amp;" mL "&amp;INDEX(tblMedDiscOplVl,O15,1)&amp;" "&amp;IF(Q15=0,"","("&amp;ROUND(PedBerMedDisc!H15/PedBerMedDisc!N15,2)&amp;" "&amp;PedBerMedDisc!F15&amp;"/ml)"))</f>
        <v/>
      </c>
      <c r="AA15" t="str">
        <f t="shared" si="13"/>
        <v/>
      </c>
      <c r="AB15" t="str">
        <f>IF(GlobBerOpm!C20=0,"",GlobBerOpm!C20)</f>
        <v/>
      </c>
      <c r="AC15" t="str">
        <f t="shared" si="15"/>
        <v/>
      </c>
      <c r="AD15">
        <f t="shared" si="14"/>
        <v>2</v>
      </c>
      <c r="AE15">
        <f t="shared" si="9"/>
        <v>0</v>
      </c>
    </row>
    <row r="16" spans="1:35" x14ac:dyDescent="0.35">
      <c r="A16">
        <v>15</v>
      </c>
      <c r="E16" s="20"/>
      <c r="H16">
        <f t="shared" si="0"/>
        <v>0</v>
      </c>
      <c r="I16">
        <v>1</v>
      </c>
      <c r="J16" s="517">
        <f t="shared" si="1"/>
        <v>0</v>
      </c>
      <c r="K16">
        <f t="shared" si="2"/>
        <v>0</v>
      </c>
      <c r="M16">
        <f t="shared" si="3"/>
        <v>0</v>
      </c>
      <c r="P16">
        <f t="shared" si="10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517" t="str">
        <f t="shared" si="7"/>
        <v/>
      </c>
      <c r="X16" t="str">
        <f t="shared" si="8"/>
        <v/>
      </c>
      <c r="Y16" t="str">
        <f t="shared" si="12"/>
        <v/>
      </c>
      <c r="Z16" s="517" t="str">
        <f>IF(P16=0,"","opl: "&amp;N16&amp;" mL "&amp;INDEX(tblMedDiscOplVl,O16,1)&amp;" "&amp;IF(Q16=0,"","("&amp;ROUND(PedBerMedDisc!H16/PedBerMedDisc!N16,2)&amp;" "&amp;PedBerMedDisc!F16&amp;"/ml)"))</f>
        <v/>
      </c>
      <c r="AA16" t="str">
        <f t="shared" si="13"/>
        <v/>
      </c>
      <c r="AB16" t="str">
        <f>IF(GlobBerOpm!C21=0,"",GlobBerOpm!C21)</f>
        <v/>
      </c>
      <c r="AC16" t="str">
        <f t="shared" si="15"/>
        <v/>
      </c>
      <c r="AD16">
        <f t="shared" si="14"/>
        <v>2</v>
      </c>
      <c r="AE16">
        <f t="shared" si="9"/>
        <v>0</v>
      </c>
    </row>
    <row r="17" spans="1:31" x14ac:dyDescent="0.35">
      <c r="A17">
        <v>16</v>
      </c>
      <c r="E17" s="20"/>
      <c r="H17">
        <f t="shared" si="0"/>
        <v>0</v>
      </c>
      <c r="I17">
        <v>1</v>
      </c>
      <c r="J17" s="517">
        <f t="shared" si="1"/>
        <v>0</v>
      </c>
      <c r="K17">
        <f t="shared" si="2"/>
        <v>0</v>
      </c>
      <c r="M17">
        <f t="shared" si="3"/>
        <v>0</v>
      </c>
      <c r="P17">
        <f t="shared" si="10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517" t="str">
        <f t="shared" si="7"/>
        <v/>
      </c>
      <c r="X17" t="str">
        <f t="shared" si="8"/>
        <v/>
      </c>
      <c r="Y17" t="str">
        <f t="shared" si="12"/>
        <v/>
      </c>
      <c r="Z17" s="517" t="str">
        <f>IF(P17=0,"","opl: "&amp;N17&amp;" mL "&amp;INDEX(tblMedDiscOplVl,O17,1)&amp;" "&amp;IF(Q17=0,"","("&amp;ROUND(PedBerMedDisc!H17/PedBerMedDisc!N17,2)&amp;" "&amp;PedBerMedDisc!F17&amp;"/ml)"))</f>
        <v/>
      </c>
      <c r="AA17" t="str">
        <f t="shared" si="13"/>
        <v/>
      </c>
      <c r="AB17" t="str">
        <f>IF(GlobBerOpm!C22=0,"",GlobBerOpm!C22)</f>
        <v/>
      </c>
      <c r="AC17" t="str">
        <f t="shared" si="15"/>
        <v/>
      </c>
      <c r="AD17">
        <f t="shared" si="14"/>
        <v>2</v>
      </c>
      <c r="AE17">
        <f t="shared" si="9"/>
        <v>0</v>
      </c>
    </row>
    <row r="18" spans="1:31" x14ac:dyDescent="0.35">
      <c r="A18">
        <v>17</v>
      </c>
      <c r="E18" s="20"/>
      <c r="H18">
        <f t="shared" si="0"/>
        <v>0</v>
      </c>
      <c r="I18">
        <v>1</v>
      </c>
      <c r="J18" s="517">
        <f t="shared" si="1"/>
        <v>0</v>
      </c>
      <c r="K18">
        <f t="shared" si="2"/>
        <v>0</v>
      </c>
      <c r="M18">
        <f t="shared" si="3"/>
        <v>0</v>
      </c>
      <c r="P18">
        <f t="shared" si="10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517" t="str">
        <f t="shared" si="7"/>
        <v/>
      </c>
      <c r="X18" t="str">
        <f t="shared" si="8"/>
        <v/>
      </c>
      <c r="Y18" t="str">
        <f t="shared" si="12"/>
        <v/>
      </c>
      <c r="Z18" s="517" t="str">
        <f>IF(P18=0,"","opl: "&amp;N18&amp;" mL "&amp;INDEX(tblMedDiscOplVl,O18,1)&amp;" "&amp;IF(Q18=0,"","("&amp;ROUND(PedBerMedDisc!H18/PedBerMedDisc!N18,2)&amp;" "&amp;PedBerMedDisc!F18&amp;"/ml)"))</f>
        <v/>
      </c>
      <c r="AA18" t="str">
        <f t="shared" si="13"/>
        <v/>
      </c>
      <c r="AB18" t="str">
        <f>IF(GlobBerOpm!C23=0,"",GlobBerOpm!C23)</f>
        <v/>
      </c>
      <c r="AC18" t="str">
        <f t="shared" si="15"/>
        <v/>
      </c>
      <c r="AD18">
        <f t="shared" si="14"/>
        <v>2</v>
      </c>
      <c r="AE18">
        <f t="shared" si="9"/>
        <v>0</v>
      </c>
    </row>
    <row r="19" spans="1:31" x14ac:dyDescent="0.35">
      <c r="A19">
        <v>18</v>
      </c>
      <c r="E19" s="20"/>
      <c r="H19">
        <f t="shared" si="0"/>
        <v>0</v>
      </c>
      <c r="I19">
        <v>1</v>
      </c>
      <c r="J19" s="517">
        <f t="shared" si="1"/>
        <v>0</v>
      </c>
      <c r="K19">
        <f t="shared" si="2"/>
        <v>0</v>
      </c>
      <c r="M19">
        <f t="shared" si="3"/>
        <v>0</v>
      </c>
      <c r="P19">
        <f t="shared" si="10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517" t="str">
        <f t="shared" si="7"/>
        <v/>
      </c>
      <c r="X19" t="str">
        <f t="shared" si="8"/>
        <v/>
      </c>
      <c r="Y19" t="str">
        <f t="shared" si="12"/>
        <v/>
      </c>
      <c r="Z19" s="517" t="str">
        <f>IF(P19=0,"","opl: "&amp;N19&amp;" mL "&amp;INDEX(tblMedDiscOplVl,O19,1)&amp;" "&amp;IF(Q19=0,"","("&amp;ROUND(PedBerMedDisc!H19/PedBerMedDisc!N19,2)&amp;" "&amp;PedBerMedDisc!F19&amp;"/ml)"))</f>
        <v/>
      </c>
      <c r="AA19" t="str">
        <f t="shared" si="13"/>
        <v/>
      </c>
      <c r="AB19" t="str">
        <f>IF(GlobBerOpm!C24=0,"",GlobBerOpm!C24)</f>
        <v/>
      </c>
      <c r="AC19" t="str">
        <f t="shared" si="15"/>
        <v/>
      </c>
      <c r="AD19">
        <f t="shared" si="14"/>
        <v>2</v>
      </c>
      <c r="AE19">
        <f t="shared" si="9"/>
        <v>0</v>
      </c>
    </row>
    <row r="20" spans="1:31" x14ac:dyDescent="0.35">
      <c r="A20">
        <v>19</v>
      </c>
      <c r="E20" s="20"/>
      <c r="H20">
        <f t="shared" si="0"/>
        <v>0</v>
      </c>
      <c r="I20">
        <v>1</v>
      </c>
      <c r="J20" s="517">
        <f t="shared" si="1"/>
        <v>0</v>
      </c>
      <c r="K20">
        <f t="shared" si="2"/>
        <v>0</v>
      </c>
      <c r="M20">
        <f t="shared" si="3"/>
        <v>0</v>
      </c>
      <c r="P20">
        <f t="shared" si="10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517" t="str">
        <f t="shared" si="7"/>
        <v/>
      </c>
      <c r="X20" t="str">
        <f t="shared" si="8"/>
        <v/>
      </c>
      <c r="Y20" t="str">
        <f t="shared" si="12"/>
        <v/>
      </c>
      <c r="Z20" s="517" t="str">
        <f>IF(P20=0,"","opl: "&amp;N20&amp;" mL "&amp;INDEX(tblMedDiscOplVl,O20,1)&amp;" "&amp;IF(Q20=0,"","("&amp;ROUND(PedBerMedDisc!H20/PedBerMedDisc!N20,2)&amp;" "&amp;PedBerMedDisc!F20&amp;"/ml)"))</f>
        <v/>
      </c>
      <c r="AA20" t="str">
        <f t="shared" si="13"/>
        <v/>
      </c>
      <c r="AB20" t="str">
        <f>IF(GlobBerOpm!C25=0,"",GlobBerOpm!C25)</f>
        <v/>
      </c>
      <c r="AC20" t="str">
        <f t="shared" si="15"/>
        <v/>
      </c>
      <c r="AD20">
        <f t="shared" si="14"/>
        <v>2</v>
      </c>
      <c r="AE20">
        <f t="shared" si="9"/>
        <v>0</v>
      </c>
    </row>
    <row r="21" spans="1:31" x14ac:dyDescent="0.35">
      <c r="A21">
        <v>20</v>
      </c>
      <c r="E21" s="20"/>
      <c r="H21">
        <f t="shared" si="0"/>
        <v>0</v>
      </c>
      <c r="I21">
        <v>1</v>
      </c>
      <c r="J21" s="517">
        <f t="shared" si="1"/>
        <v>0</v>
      </c>
      <c r="K21">
        <f t="shared" si="2"/>
        <v>0</v>
      </c>
      <c r="M21">
        <f t="shared" si="3"/>
        <v>0</v>
      </c>
      <c r="P21">
        <f t="shared" si="10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517" t="str">
        <f t="shared" si="7"/>
        <v/>
      </c>
      <c r="X21" t="str">
        <f t="shared" si="8"/>
        <v/>
      </c>
      <c r="Y21" t="str">
        <f t="shared" si="12"/>
        <v/>
      </c>
      <c r="Z21" s="517" t="str">
        <f>IF(P21=0,"","opl: "&amp;N21&amp;" mL "&amp;INDEX(tblMedDiscOplVl,O21,1)&amp;" "&amp;IF(Q21=0,"","("&amp;ROUND(PedBerMedDisc!H21/PedBerMedDisc!N21,2)&amp;" "&amp;PedBerMedDisc!F21&amp;"/ml)"))</f>
        <v/>
      </c>
      <c r="AA21" t="str">
        <f t="shared" si="13"/>
        <v/>
      </c>
      <c r="AB21" t="str">
        <f>IF(GlobBerOpm!C26=0,"",GlobBerOpm!C26)</f>
        <v/>
      </c>
      <c r="AC21" t="str">
        <f t="shared" si="15"/>
        <v/>
      </c>
      <c r="AD21">
        <f t="shared" si="14"/>
        <v>2</v>
      </c>
      <c r="AE21">
        <f t="shared" si="9"/>
        <v>0</v>
      </c>
    </row>
    <row r="22" spans="1:31" x14ac:dyDescent="0.35">
      <c r="A22" s="517">
        <v>21</v>
      </c>
      <c r="B22" s="517"/>
      <c r="C22" s="517"/>
      <c r="D22" s="517"/>
      <c r="E22" s="519"/>
      <c r="F22" s="517"/>
      <c r="G22" s="517"/>
      <c r="H22" s="517">
        <f t="shared" ref="H22:H31" si="16">E22*G22</f>
        <v>0</v>
      </c>
      <c r="I22" s="517">
        <v>1</v>
      </c>
      <c r="J22" s="517">
        <f t="shared" si="1"/>
        <v>0</v>
      </c>
      <c r="K22" s="517">
        <f t="shared" ref="K22:K31" si="17">J22*H22</f>
        <v>0</v>
      </c>
      <c r="L22" s="517"/>
      <c r="M22" s="517">
        <f t="shared" si="3"/>
        <v>0</v>
      </c>
      <c r="N22" s="517"/>
      <c r="O22" s="517"/>
      <c r="P22" s="517">
        <f t="shared" ref="P22:P31" si="18">IF(O22&gt;1,N22*J22,0)</f>
        <v>0</v>
      </c>
      <c r="Q22" s="517"/>
      <c r="R22" s="517">
        <f t="shared" ref="R22:R31" si="19">IF(O22=2,P22*0.155,0)</f>
        <v>0</v>
      </c>
      <c r="S22" s="517">
        <f t="shared" ref="S22:S31" si="20">IF(O22=3,P22*0.05,0)</f>
        <v>0</v>
      </c>
      <c r="T22" s="517">
        <f t="shared" ref="T22:T31" si="21">IF(O22=4,P22*0.1,0)</f>
        <v>0</v>
      </c>
      <c r="U22" s="517"/>
      <c r="V22" s="517" t="str">
        <f t="shared" ref="V22:V31" si="22">IF(U22=0,"",IF(U22=-1,C22,D22))</f>
        <v/>
      </c>
      <c r="W22" s="517" t="str">
        <f t="shared" ref="W22:W31" si="23">IF(IF(U22=0,"",INDEX(tblMedDiscTijden,I22,2))=0,"",IF(U22=0,"",INDEX(tblMedDiscTijden,I22,2)))</f>
        <v/>
      </c>
      <c r="X22" s="517" t="str">
        <f t="shared" si="8"/>
        <v/>
      </c>
      <c r="Y22" s="517" t="str">
        <f t="shared" ref="Y22:Y31" si="24">IF(U22=0,"",TRIM(L22))</f>
        <v/>
      </c>
      <c r="Z22" s="517" t="str">
        <f>IF(P22=0,"","opl: "&amp;N22&amp;" mL "&amp;INDEX(tblMedDiscOplVl,O22,1)&amp;" "&amp;IF(Q22=0,"","("&amp;ROUND(PedBerMedDisc!H22/PedBerMedDisc!N22,2)&amp;" "&amp;PedBerMedDisc!F22&amp;"/ml)"))</f>
        <v/>
      </c>
      <c r="AA22" s="517" t="str">
        <f t="shared" ref="AA22:AA31" si="25">IF(OR(Q22=0,Z22=""),"","in "&amp;Q22&amp;" min")</f>
        <v/>
      </c>
      <c r="AB22" s="517" t="e">
        <f>IF(GlobBerOpm!#REF!=0,"",GlobBerOpm!#REF!)</f>
        <v>#REF!</v>
      </c>
      <c r="AC22" s="517" t="str">
        <f t="shared" ref="AC22:AC31" si="26">IF(OR(V22="",V22=0),"",TRIM(V22)&amp;"||"&amp;TRIM(W22)&amp;"||"&amp;TRIM(X22)&amp;"||"&amp;TRIM(Y22)&amp;"||"&amp;TRIM(Z22)&amp;"||"&amp;TRIM(AA22)&amp;"||"&amp;TRIM(AB22))</f>
        <v/>
      </c>
      <c r="AD22" s="517">
        <f t="shared" ref="AD22:AD31" si="27">IF(AE22&gt;=10,0,IF(AE22&gt;=1,1,IF(AE22&gt;=0,2,IF(AE22&gt;=0.1,3,IF(AE22&gt;=0.01,4,5)))))</f>
        <v>2</v>
      </c>
      <c r="AE22" s="517">
        <f t="shared" si="9"/>
        <v>0</v>
      </c>
    </row>
    <row r="23" spans="1:31" x14ac:dyDescent="0.35">
      <c r="A23" s="517">
        <v>22</v>
      </c>
      <c r="B23" s="517"/>
      <c r="C23" s="517"/>
      <c r="D23" s="517"/>
      <c r="E23" s="519"/>
      <c r="F23" s="517"/>
      <c r="G23" s="517"/>
      <c r="H23" s="517">
        <f t="shared" si="16"/>
        <v>0</v>
      </c>
      <c r="I23" s="517">
        <v>1</v>
      </c>
      <c r="J23" s="517">
        <f t="shared" si="1"/>
        <v>0</v>
      </c>
      <c r="K23" s="517">
        <f t="shared" si="17"/>
        <v>0</v>
      </c>
      <c r="L23" s="517"/>
      <c r="M23" s="517">
        <f t="shared" si="3"/>
        <v>0</v>
      </c>
      <c r="N23" s="517"/>
      <c r="O23" s="517"/>
      <c r="P23" s="517">
        <f t="shared" si="18"/>
        <v>0</v>
      </c>
      <c r="Q23" s="517"/>
      <c r="R23" s="517">
        <f t="shared" si="19"/>
        <v>0</v>
      </c>
      <c r="S23" s="517">
        <f t="shared" si="20"/>
        <v>0</v>
      </c>
      <c r="T23" s="517">
        <f t="shared" si="21"/>
        <v>0</v>
      </c>
      <c r="U23" s="517"/>
      <c r="V23" s="517" t="str">
        <f t="shared" si="22"/>
        <v/>
      </c>
      <c r="W23" s="517" t="str">
        <f t="shared" si="23"/>
        <v/>
      </c>
      <c r="X23" s="517" t="str">
        <f t="shared" si="8"/>
        <v/>
      </c>
      <c r="Y23" s="517" t="str">
        <f t="shared" si="24"/>
        <v/>
      </c>
      <c r="Z23" s="517" t="str">
        <f>IF(P23=0,"","opl: "&amp;N23&amp;" mL "&amp;INDEX(tblMedDiscOplVl,O23,1)&amp;" "&amp;IF(Q23=0,"","("&amp;ROUND(PedBerMedDisc!H23/PedBerMedDisc!N23,2)&amp;" "&amp;PedBerMedDisc!F23&amp;"/ml)"))</f>
        <v/>
      </c>
      <c r="AA23" s="517" t="str">
        <f t="shared" si="25"/>
        <v/>
      </c>
      <c r="AB23" s="517" t="str">
        <f>IF(GlobBerOpm!C27=0,"",GlobBerOpm!C27)</f>
        <v/>
      </c>
      <c r="AC23" s="517" t="str">
        <f t="shared" si="26"/>
        <v/>
      </c>
      <c r="AD23" s="517">
        <f t="shared" si="27"/>
        <v>2</v>
      </c>
      <c r="AE23" s="517">
        <f t="shared" si="9"/>
        <v>0</v>
      </c>
    </row>
    <row r="24" spans="1:31" x14ac:dyDescent="0.35">
      <c r="A24" s="517">
        <v>23</v>
      </c>
      <c r="B24" s="517"/>
      <c r="C24" s="517"/>
      <c r="D24" s="517"/>
      <c r="E24" s="519"/>
      <c r="F24" s="517"/>
      <c r="G24" s="517"/>
      <c r="H24" s="517">
        <f t="shared" si="16"/>
        <v>0</v>
      </c>
      <c r="I24" s="517">
        <v>1</v>
      </c>
      <c r="J24" s="517">
        <f t="shared" si="1"/>
        <v>0</v>
      </c>
      <c r="K24" s="517">
        <f t="shared" si="17"/>
        <v>0</v>
      </c>
      <c r="L24" s="517"/>
      <c r="M24" s="517">
        <f t="shared" si="3"/>
        <v>0</v>
      </c>
      <c r="N24" s="517"/>
      <c r="O24" s="517"/>
      <c r="P24" s="517">
        <f t="shared" si="18"/>
        <v>0</v>
      </c>
      <c r="Q24" s="517"/>
      <c r="R24" s="517">
        <f t="shared" si="19"/>
        <v>0</v>
      </c>
      <c r="S24" s="517">
        <f t="shared" si="20"/>
        <v>0</v>
      </c>
      <c r="T24" s="517">
        <f t="shared" si="21"/>
        <v>0</v>
      </c>
      <c r="U24" s="517"/>
      <c r="V24" s="517" t="str">
        <f t="shared" si="22"/>
        <v/>
      </c>
      <c r="W24" s="517" t="str">
        <f t="shared" si="23"/>
        <v/>
      </c>
      <c r="X24" s="517" t="str">
        <f t="shared" si="8"/>
        <v/>
      </c>
      <c r="Y24" s="517" t="str">
        <f t="shared" si="24"/>
        <v/>
      </c>
      <c r="Z24" s="517" t="str">
        <f>IF(P24=0,"","opl: "&amp;N24&amp;" mL "&amp;INDEX(tblMedDiscOplVl,O24,1)&amp;" "&amp;IF(Q24=0,"","("&amp;ROUND(PedBerMedDisc!H24/PedBerMedDisc!N24,2)&amp;" "&amp;PedBerMedDisc!F24&amp;"/ml)"))</f>
        <v/>
      </c>
      <c r="AA24" s="517" t="str">
        <f t="shared" si="25"/>
        <v/>
      </c>
      <c r="AB24" s="517" t="str">
        <f>IF(GlobBerOpm!C28=0,"",GlobBerOpm!C28)</f>
        <v/>
      </c>
      <c r="AC24" s="517" t="str">
        <f t="shared" si="26"/>
        <v/>
      </c>
      <c r="AD24" s="517">
        <f t="shared" si="27"/>
        <v>2</v>
      </c>
      <c r="AE24" s="517">
        <f t="shared" si="9"/>
        <v>0</v>
      </c>
    </row>
    <row r="25" spans="1:31" x14ac:dyDescent="0.35">
      <c r="A25" s="517">
        <v>24</v>
      </c>
      <c r="B25" s="517"/>
      <c r="C25" s="517"/>
      <c r="D25" s="517"/>
      <c r="E25" s="519"/>
      <c r="F25" s="517"/>
      <c r="G25" s="517"/>
      <c r="H25" s="517">
        <f t="shared" si="16"/>
        <v>0</v>
      </c>
      <c r="I25" s="517">
        <v>1</v>
      </c>
      <c r="J25" s="517">
        <f t="shared" si="1"/>
        <v>0</v>
      </c>
      <c r="K25" s="517">
        <f t="shared" si="17"/>
        <v>0</v>
      </c>
      <c r="L25" s="517"/>
      <c r="M25" s="517">
        <f t="shared" si="3"/>
        <v>0</v>
      </c>
      <c r="N25" s="517"/>
      <c r="O25" s="517"/>
      <c r="P25" s="517">
        <f t="shared" si="18"/>
        <v>0</v>
      </c>
      <c r="Q25" s="517"/>
      <c r="R25" s="517">
        <f t="shared" si="19"/>
        <v>0</v>
      </c>
      <c r="S25" s="517">
        <f t="shared" si="20"/>
        <v>0</v>
      </c>
      <c r="T25" s="517">
        <f t="shared" si="21"/>
        <v>0</v>
      </c>
      <c r="U25" s="517"/>
      <c r="V25" s="517" t="str">
        <f t="shared" si="22"/>
        <v/>
      </c>
      <c r="W25" s="517" t="str">
        <f t="shared" si="23"/>
        <v/>
      </c>
      <c r="X25" s="517" t="str">
        <f t="shared" si="8"/>
        <v/>
      </c>
      <c r="Y25" s="517" t="str">
        <f t="shared" si="24"/>
        <v/>
      </c>
      <c r="Z25" s="517" t="str">
        <f>IF(P25=0,"","opl: "&amp;N25&amp;" mL "&amp;INDEX(tblMedDiscOplVl,O25,1)&amp;" "&amp;IF(Q25=0,"","("&amp;ROUND(PedBerMedDisc!H25/PedBerMedDisc!N25,2)&amp;" "&amp;PedBerMedDisc!F25&amp;"/ml)"))</f>
        <v/>
      </c>
      <c r="AA25" s="517" t="str">
        <f t="shared" si="25"/>
        <v/>
      </c>
      <c r="AB25" s="517" t="str">
        <f>IF(GlobBerOpm!C29=0,"",GlobBerOpm!C29)</f>
        <v/>
      </c>
      <c r="AC25" s="517" t="str">
        <f t="shared" si="26"/>
        <v/>
      </c>
      <c r="AD25" s="517">
        <f t="shared" si="27"/>
        <v>2</v>
      </c>
      <c r="AE25" s="517">
        <f t="shared" si="9"/>
        <v>0</v>
      </c>
    </row>
    <row r="26" spans="1:31" x14ac:dyDescent="0.35">
      <c r="A26" s="517">
        <v>25</v>
      </c>
      <c r="B26" s="517"/>
      <c r="C26" s="517"/>
      <c r="D26" s="517"/>
      <c r="E26" s="519"/>
      <c r="F26" s="517"/>
      <c r="G26" s="517"/>
      <c r="H26" s="517">
        <f t="shared" si="16"/>
        <v>0</v>
      </c>
      <c r="I26" s="517">
        <v>1</v>
      </c>
      <c r="J26" s="517">
        <f t="shared" si="1"/>
        <v>0</v>
      </c>
      <c r="K26" s="517">
        <f t="shared" si="17"/>
        <v>0</v>
      </c>
      <c r="L26" s="517"/>
      <c r="M26" s="517">
        <f t="shared" si="3"/>
        <v>0</v>
      </c>
      <c r="N26" s="517"/>
      <c r="O26" s="517"/>
      <c r="P26" s="517">
        <f t="shared" si="18"/>
        <v>0</v>
      </c>
      <c r="Q26" s="517"/>
      <c r="R26" s="517">
        <f t="shared" si="19"/>
        <v>0</v>
      </c>
      <c r="S26" s="517">
        <f t="shared" si="20"/>
        <v>0</v>
      </c>
      <c r="T26" s="517">
        <f t="shared" si="21"/>
        <v>0</v>
      </c>
      <c r="U26" s="517"/>
      <c r="V26" s="517" t="str">
        <f t="shared" si="22"/>
        <v/>
      </c>
      <c r="W26" s="517" t="str">
        <f t="shared" si="23"/>
        <v/>
      </c>
      <c r="X26" s="517" t="str">
        <f t="shared" si="8"/>
        <v/>
      </c>
      <c r="Y26" s="517" t="str">
        <f t="shared" si="24"/>
        <v/>
      </c>
      <c r="Z26" s="517" t="str">
        <f>IF(P26=0,"","opl: "&amp;N26&amp;" mL "&amp;INDEX(tblMedDiscOplVl,O26,1)&amp;" "&amp;IF(Q26=0,"","("&amp;ROUND(PedBerMedDisc!H26/PedBerMedDisc!N26,2)&amp;" "&amp;PedBerMedDisc!F26&amp;"/ml)"))</f>
        <v/>
      </c>
      <c r="AA26" s="517" t="str">
        <f t="shared" si="25"/>
        <v/>
      </c>
      <c r="AB26" s="517" t="str">
        <f>IF(GlobBerOpm!C30=0,"",GlobBerOpm!C30)</f>
        <v/>
      </c>
      <c r="AC26" s="517" t="str">
        <f t="shared" si="26"/>
        <v/>
      </c>
      <c r="AD26" s="517">
        <f t="shared" si="27"/>
        <v>2</v>
      </c>
      <c r="AE26" s="517">
        <f t="shared" si="9"/>
        <v>0</v>
      </c>
    </row>
    <row r="27" spans="1:31" x14ac:dyDescent="0.35">
      <c r="A27" s="517">
        <v>26</v>
      </c>
      <c r="B27" s="517"/>
      <c r="C27" s="517"/>
      <c r="D27" s="517"/>
      <c r="E27" s="519"/>
      <c r="F27" s="517"/>
      <c r="G27" s="517"/>
      <c r="H27" s="517">
        <f t="shared" si="16"/>
        <v>0</v>
      </c>
      <c r="I27" s="517">
        <v>1</v>
      </c>
      <c r="J27" s="517">
        <f t="shared" si="1"/>
        <v>0</v>
      </c>
      <c r="K27" s="517">
        <f t="shared" si="17"/>
        <v>0</v>
      </c>
      <c r="L27" s="517"/>
      <c r="M27" s="517">
        <f t="shared" si="3"/>
        <v>0</v>
      </c>
      <c r="N27" s="517"/>
      <c r="O27" s="517"/>
      <c r="P27" s="517">
        <f t="shared" si="18"/>
        <v>0</v>
      </c>
      <c r="Q27" s="517"/>
      <c r="R27" s="517">
        <f t="shared" si="19"/>
        <v>0</v>
      </c>
      <c r="S27" s="517">
        <f t="shared" si="20"/>
        <v>0</v>
      </c>
      <c r="T27" s="517">
        <f t="shared" si="21"/>
        <v>0</v>
      </c>
      <c r="U27" s="517"/>
      <c r="V27" s="517" t="str">
        <f t="shared" si="22"/>
        <v/>
      </c>
      <c r="W27" s="517" t="str">
        <f t="shared" si="23"/>
        <v/>
      </c>
      <c r="X27" s="517" t="str">
        <f t="shared" si="8"/>
        <v/>
      </c>
      <c r="Y27" s="517" t="str">
        <f t="shared" si="24"/>
        <v/>
      </c>
      <c r="Z27" s="517" t="str">
        <f>IF(P27=0,"","opl: "&amp;N27&amp;" mL "&amp;INDEX(tblMedDiscOplVl,O27,1)&amp;" "&amp;IF(Q27=0,"","("&amp;ROUND(PedBerMedDisc!H27/PedBerMedDisc!N27,2)&amp;" "&amp;PedBerMedDisc!F27&amp;"/ml)"))</f>
        <v/>
      </c>
      <c r="AA27" s="517" t="str">
        <f t="shared" si="25"/>
        <v/>
      </c>
      <c r="AB27" s="517" t="str">
        <f>IF(GlobBerOpm!C31=0,"",GlobBerOpm!C31)</f>
        <v/>
      </c>
      <c r="AC27" s="517" t="str">
        <f t="shared" si="26"/>
        <v/>
      </c>
      <c r="AD27" s="517">
        <f t="shared" si="27"/>
        <v>2</v>
      </c>
      <c r="AE27" s="517">
        <f t="shared" si="9"/>
        <v>0</v>
      </c>
    </row>
    <row r="28" spans="1:31" x14ac:dyDescent="0.35">
      <c r="A28" s="517">
        <v>27</v>
      </c>
      <c r="B28" s="517"/>
      <c r="C28" s="517"/>
      <c r="D28" s="517"/>
      <c r="E28" s="519"/>
      <c r="F28" s="517"/>
      <c r="G28" s="517"/>
      <c r="H28" s="517">
        <f t="shared" si="16"/>
        <v>0</v>
      </c>
      <c r="I28" s="517">
        <v>1</v>
      </c>
      <c r="J28" s="517">
        <f t="shared" si="1"/>
        <v>0</v>
      </c>
      <c r="K28" s="517">
        <f t="shared" si="17"/>
        <v>0</v>
      </c>
      <c r="L28" s="517"/>
      <c r="M28" s="517">
        <f t="shared" si="3"/>
        <v>0</v>
      </c>
      <c r="N28" s="517"/>
      <c r="O28" s="517"/>
      <c r="P28" s="517">
        <f t="shared" si="18"/>
        <v>0</v>
      </c>
      <c r="Q28" s="517"/>
      <c r="R28" s="517">
        <f t="shared" si="19"/>
        <v>0</v>
      </c>
      <c r="S28" s="517">
        <f t="shared" si="20"/>
        <v>0</v>
      </c>
      <c r="T28" s="517">
        <f t="shared" si="21"/>
        <v>0</v>
      </c>
      <c r="U28" s="517"/>
      <c r="V28" s="517" t="str">
        <f t="shared" si="22"/>
        <v/>
      </c>
      <c r="W28" s="517" t="str">
        <f t="shared" si="23"/>
        <v/>
      </c>
      <c r="X28" s="517" t="str">
        <f t="shared" si="8"/>
        <v/>
      </c>
      <c r="Y28" s="517" t="str">
        <f t="shared" si="24"/>
        <v/>
      </c>
      <c r="Z28" s="517" t="str">
        <f>IF(P28=0,"","opl: "&amp;N28&amp;" mL "&amp;INDEX(tblMedDiscOplVl,O28,1)&amp;" "&amp;IF(Q28=0,"","("&amp;ROUND(PedBerMedDisc!H28/PedBerMedDisc!N28,2)&amp;" "&amp;PedBerMedDisc!F28&amp;"/ml)"))</f>
        <v/>
      </c>
      <c r="AA28" s="517" t="str">
        <f t="shared" si="25"/>
        <v/>
      </c>
      <c r="AB28" s="517" t="str">
        <f>IF(GlobBerOpm!C32=0,"",GlobBerOpm!C32)</f>
        <v/>
      </c>
      <c r="AC28" s="517" t="str">
        <f t="shared" si="26"/>
        <v/>
      </c>
      <c r="AD28" s="517">
        <f t="shared" si="27"/>
        <v>2</v>
      </c>
      <c r="AE28" s="517">
        <f t="shared" si="9"/>
        <v>0</v>
      </c>
    </row>
    <row r="29" spans="1:31" x14ac:dyDescent="0.35">
      <c r="A29" s="517">
        <v>28</v>
      </c>
      <c r="B29" s="517"/>
      <c r="C29" s="517"/>
      <c r="D29" s="517"/>
      <c r="E29" s="519"/>
      <c r="F29" s="517"/>
      <c r="G29" s="517"/>
      <c r="H29" s="517">
        <f t="shared" si="16"/>
        <v>0</v>
      </c>
      <c r="I29" s="517">
        <v>1</v>
      </c>
      <c r="J29" s="517">
        <f t="shared" si="1"/>
        <v>0</v>
      </c>
      <c r="K29" s="517">
        <f t="shared" si="17"/>
        <v>0</v>
      </c>
      <c r="L29" s="517"/>
      <c r="M29" s="517">
        <f t="shared" si="3"/>
        <v>0</v>
      </c>
      <c r="N29" s="517"/>
      <c r="O29" s="517"/>
      <c r="P29" s="517">
        <f t="shared" si="18"/>
        <v>0</v>
      </c>
      <c r="Q29" s="517"/>
      <c r="R29" s="517">
        <f t="shared" si="19"/>
        <v>0</v>
      </c>
      <c r="S29" s="517">
        <f t="shared" si="20"/>
        <v>0</v>
      </c>
      <c r="T29" s="517">
        <f t="shared" si="21"/>
        <v>0</v>
      </c>
      <c r="U29" s="517"/>
      <c r="V29" s="517" t="str">
        <f t="shared" si="22"/>
        <v/>
      </c>
      <c r="W29" s="517" t="str">
        <f t="shared" si="23"/>
        <v/>
      </c>
      <c r="X29" s="517" t="str">
        <f t="shared" si="8"/>
        <v/>
      </c>
      <c r="Y29" s="517" t="str">
        <f t="shared" si="24"/>
        <v/>
      </c>
      <c r="Z29" s="517" t="str">
        <f>IF(P29=0,"","opl: "&amp;N29&amp;" mL "&amp;INDEX(tblMedDiscOplVl,O29,1)&amp;" "&amp;IF(Q29=0,"","("&amp;ROUND(PedBerMedDisc!H29/PedBerMedDisc!N29,2)&amp;" "&amp;PedBerMedDisc!F29&amp;"/ml)"))</f>
        <v/>
      </c>
      <c r="AA29" s="517" t="str">
        <f t="shared" si="25"/>
        <v/>
      </c>
      <c r="AB29" s="517" t="str">
        <f>IF(GlobBerOpm!C33=0,"",GlobBerOpm!C33)</f>
        <v/>
      </c>
      <c r="AC29" s="517" t="str">
        <f t="shared" si="26"/>
        <v/>
      </c>
      <c r="AD29" s="517">
        <f t="shared" si="27"/>
        <v>2</v>
      </c>
      <c r="AE29" s="517">
        <f t="shared" si="9"/>
        <v>0</v>
      </c>
    </row>
    <row r="30" spans="1:31" x14ac:dyDescent="0.35">
      <c r="A30" s="517">
        <v>29</v>
      </c>
      <c r="B30" s="517"/>
      <c r="C30" s="517"/>
      <c r="D30" s="517"/>
      <c r="E30" s="519"/>
      <c r="F30" s="517"/>
      <c r="G30" s="517"/>
      <c r="H30" s="517">
        <f t="shared" si="16"/>
        <v>0</v>
      </c>
      <c r="I30" s="517">
        <v>1</v>
      </c>
      <c r="J30" s="517">
        <f t="shared" si="1"/>
        <v>0</v>
      </c>
      <c r="K30" s="517">
        <f t="shared" si="17"/>
        <v>0</v>
      </c>
      <c r="L30" s="517"/>
      <c r="M30" s="517">
        <f t="shared" si="3"/>
        <v>0</v>
      </c>
      <c r="N30" s="517"/>
      <c r="O30" s="517"/>
      <c r="P30" s="517">
        <f t="shared" si="18"/>
        <v>0</v>
      </c>
      <c r="Q30" s="517"/>
      <c r="R30" s="517">
        <f t="shared" si="19"/>
        <v>0</v>
      </c>
      <c r="S30" s="517">
        <f t="shared" si="20"/>
        <v>0</v>
      </c>
      <c r="T30" s="517">
        <f t="shared" si="21"/>
        <v>0</v>
      </c>
      <c r="U30" s="517"/>
      <c r="V30" s="517" t="str">
        <f t="shared" si="22"/>
        <v/>
      </c>
      <c r="W30" s="517" t="str">
        <f t="shared" si="23"/>
        <v/>
      </c>
      <c r="X30" s="517" t="str">
        <f t="shared" si="8"/>
        <v/>
      </c>
      <c r="Y30" s="517" t="str">
        <f t="shared" si="24"/>
        <v/>
      </c>
      <c r="Z30" s="517" t="str">
        <f>IF(P30=0,"","opl: "&amp;N30&amp;" mL "&amp;INDEX(tblMedDiscOplVl,O30,1)&amp;" "&amp;IF(Q30=0,"","("&amp;ROUND(PedBerMedDisc!H30/PedBerMedDisc!N30,2)&amp;" "&amp;PedBerMedDisc!F30&amp;"/ml)"))</f>
        <v/>
      </c>
      <c r="AA30" s="517" t="str">
        <f t="shared" si="25"/>
        <v/>
      </c>
      <c r="AB30" s="517" t="str">
        <f>IF(GlobBerOpm!C34=0,"",GlobBerOpm!C34)</f>
        <v/>
      </c>
      <c r="AC30" s="517" t="str">
        <f t="shared" si="26"/>
        <v/>
      </c>
      <c r="AD30" s="517">
        <f t="shared" si="27"/>
        <v>2</v>
      </c>
      <c r="AE30" s="517">
        <f t="shared" si="9"/>
        <v>0</v>
      </c>
    </row>
    <row r="31" spans="1:31" x14ac:dyDescent="0.35">
      <c r="A31" s="517">
        <v>30</v>
      </c>
      <c r="B31" s="517"/>
      <c r="C31" s="517"/>
      <c r="D31" s="517"/>
      <c r="E31" s="519"/>
      <c r="F31" s="517"/>
      <c r="G31" s="517"/>
      <c r="H31" s="517">
        <f t="shared" si="16"/>
        <v>0</v>
      </c>
      <c r="I31" s="517">
        <v>1</v>
      </c>
      <c r="J31" s="517">
        <f t="shared" si="1"/>
        <v>0</v>
      </c>
      <c r="K31" s="517">
        <f t="shared" si="17"/>
        <v>0</v>
      </c>
      <c r="L31" s="517"/>
      <c r="M31" s="517">
        <f t="shared" si="3"/>
        <v>0</v>
      </c>
      <c r="N31" s="517"/>
      <c r="O31" s="517"/>
      <c r="P31" s="517">
        <f t="shared" si="18"/>
        <v>0</v>
      </c>
      <c r="Q31" s="517"/>
      <c r="R31" s="517">
        <f t="shared" si="19"/>
        <v>0</v>
      </c>
      <c r="S31" s="517">
        <f t="shared" si="20"/>
        <v>0</v>
      </c>
      <c r="T31" s="517">
        <f t="shared" si="21"/>
        <v>0</v>
      </c>
      <c r="U31" s="517"/>
      <c r="V31" s="517" t="str">
        <f t="shared" si="22"/>
        <v/>
      </c>
      <c r="W31" s="517" t="str">
        <f t="shared" si="23"/>
        <v/>
      </c>
      <c r="X31" s="517" t="str">
        <f t="shared" si="8"/>
        <v/>
      </c>
      <c r="Y31" s="517" t="str">
        <f t="shared" si="24"/>
        <v/>
      </c>
      <c r="Z31" s="517" t="str">
        <f>IF(P31=0,"","opl: "&amp;N31&amp;" mL "&amp;INDEX(tblMedDiscOplVl,O31,1)&amp;" "&amp;IF(Q31=0,"","("&amp;ROUND(PedBerMedDisc!H31/PedBerMedDisc!N31,2)&amp;" "&amp;PedBerMedDisc!F31&amp;"/ml)"))</f>
        <v/>
      </c>
      <c r="AA31" s="517" t="str">
        <f t="shared" si="25"/>
        <v/>
      </c>
      <c r="AB31" s="517" t="str">
        <f>IF(GlobBerOpm!C35=0,"",GlobBerOpm!C35)</f>
        <v/>
      </c>
      <c r="AC31" s="517" t="str">
        <f t="shared" si="26"/>
        <v/>
      </c>
      <c r="AD31" s="517">
        <f t="shared" si="27"/>
        <v>2</v>
      </c>
      <c r="AE31" s="517">
        <f t="shared" si="9"/>
        <v>0</v>
      </c>
    </row>
    <row r="33" spans="2:19" x14ac:dyDescent="0.35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35">
      <c r="B34" s="518" t="s">
        <v>240</v>
      </c>
    </row>
    <row r="40" spans="2:19" x14ac:dyDescent="0.35">
      <c r="D40" s="518"/>
    </row>
    <row r="41" spans="2:19" x14ac:dyDescent="0.35">
      <c r="D41" s="518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C6" sqref="C6"/>
    </sheetView>
  </sheetViews>
  <sheetFormatPr defaultRowHeight="12.85" x14ac:dyDescent="0.35"/>
  <cols>
    <col min="1" max="5" width="21.1328125" customWidth="1"/>
  </cols>
  <sheetData>
    <row r="1" spans="1:5" s="3" customFormat="1" ht="13.2" x14ac:dyDescent="0.4">
      <c r="A1" s="3" t="s">
        <v>1083</v>
      </c>
      <c r="B1" s="3" t="s">
        <v>1084</v>
      </c>
      <c r="C1" s="687" t="s">
        <v>1085</v>
      </c>
      <c r="D1" s="687" t="s">
        <v>1086</v>
      </c>
      <c r="E1" s="3" t="s">
        <v>1087</v>
      </c>
    </row>
    <row r="2" spans="1:5" x14ac:dyDescent="0.35">
      <c r="A2" s="517"/>
      <c r="B2" s="517"/>
      <c r="C2" s="517"/>
      <c r="D2" s="517"/>
      <c r="E2" s="517"/>
    </row>
    <row r="3" spans="1:5" x14ac:dyDescent="0.35">
      <c r="A3" s="517" t="s">
        <v>97</v>
      </c>
      <c r="B3" s="517" t="s">
        <v>1129</v>
      </c>
      <c r="C3" s="517">
        <v>0</v>
      </c>
      <c r="D3" s="517" t="s">
        <v>470</v>
      </c>
      <c r="E3" s="517" t="s">
        <v>178</v>
      </c>
    </row>
    <row r="4" spans="1:5" x14ac:dyDescent="0.35">
      <c r="A4" s="517" t="s">
        <v>96</v>
      </c>
      <c r="B4" s="517" t="s">
        <v>304</v>
      </c>
      <c r="C4" s="517">
        <v>1</v>
      </c>
      <c r="D4" s="517" t="s">
        <v>400</v>
      </c>
      <c r="E4" s="517" t="s">
        <v>176</v>
      </c>
    </row>
    <row r="5" spans="1:5" x14ac:dyDescent="0.35">
      <c r="A5" s="517" t="s">
        <v>39</v>
      </c>
      <c r="B5" s="517" t="s">
        <v>305</v>
      </c>
      <c r="C5" s="517">
        <v>0</v>
      </c>
      <c r="D5" s="518" t="s">
        <v>1075</v>
      </c>
      <c r="E5" s="517" t="s">
        <v>31</v>
      </c>
    </row>
    <row r="6" spans="1:5" x14ac:dyDescent="0.35">
      <c r="A6" s="517" t="s">
        <v>331</v>
      </c>
      <c r="B6" s="517"/>
      <c r="C6" s="517">
        <v>1</v>
      </c>
      <c r="D6" s="517" t="s">
        <v>420</v>
      </c>
      <c r="E6" s="517" t="s">
        <v>72</v>
      </c>
    </row>
    <row r="7" spans="1:5" x14ac:dyDescent="0.35">
      <c r="A7" s="517" t="s">
        <v>40</v>
      </c>
      <c r="B7" s="517"/>
      <c r="C7" s="517">
        <v>2</v>
      </c>
      <c r="D7" s="517" t="s">
        <v>421</v>
      </c>
      <c r="E7" s="517" t="s">
        <v>177</v>
      </c>
    </row>
    <row r="8" spans="1:5" x14ac:dyDescent="0.35">
      <c r="A8" s="517" t="s">
        <v>223</v>
      </c>
      <c r="B8" s="517"/>
      <c r="C8" s="517">
        <v>3</v>
      </c>
      <c r="D8" s="517" t="s">
        <v>422</v>
      </c>
      <c r="E8" s="517"/>
    </row>
    <row r="9" spans="1:5" x14ac:dyDescent="0.35">
      <c r="A9" s="517" t="s">
        <v>391</v>
      </c>
      <c r="B9" s="517"/>
      <c r="C9" s="517">
        <v>4</v>
      </c>
      <c r="D9" s="517" t="s">
        <v>423</v>
      </c>
      <c r="E9" s="517"/>
    </row>
    <row r="10" spans="1:5" x14ac:dyDescent="0.35">
      <c r="A10" s="517" t="s">
        <v>392</v>
      </c>
      <c r="B10" s="517"/>
      <c r="C10" s="517">
        <v>5</v>
      </c>
      <c r="D10" s="517" t="s">
        <v>469</v>
      </c>
      <c r="E10" s="517"/>
    </row>
    <row r="11" spans="1:5" x14ac:dyDescent="0.35">
      <c r="A11" s="517" t="s">
        <v>393</v>
      </c>
      <c r="B11" s="517"/>
      <c r="C11" s="517">
        <v>6</v>
      </c>
      <c r="D11" s="517" t="s">
        <v>196</v>
      </c>
      <c r="E11" s="517"/>
    </row>
    <row r="12" spans="1:5" x14ac:dyDescent="0.35">
      <c r="A12" s="517" t="s">
        <v>51</v>
      </c>
      <c r="B12" s="517"/>
      <c r="C12" s="517">
        <v>8</v>
      </c>
      <c r="D12" s="517" t="s">
        <v>197</v>
      </c>
      <c r="E12" s="517"/>
    </row>
    <row r="13" spans="1:5" x14ac:dyDescent="0.35">
      <c r="A13" s="517" t="s">
        <v>163</v>
      </c>
      <c r="B13" s="517"/>
      <c r="C13" s="517">
        <v>12</v>
      </c>
      <c r="D13" s="517" t="s">
        <v>198</v>
      </c>
      <c r="E13" s="517"/>
    </row>
    <row r="14" spans="1:5" x14ac:dyDescent="0.35">
      <c r="A14" s="517"/>
      <c r="B14" s="517"/>
      <c r="C14" s="517">
        <v>24</v>
      </c>
      <c r="D14" s="517" t="s">
        <v>26</v>
      </c>
      <c r="E14" s="517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PMenIV">
    <tabColor rgb="FF7030A0"/>
    <pageSetUpPr autoPageBreaks="0"/>
  </sheetPr>
  <dimension ref="A1:L31"/>
  <sheetViews>
    <sheetView workbookViewId="0">
      <pane ySplit="4" topLeftCell="A5" activePane="bottomLeft" state="frozen"/>
      <selection activeCell="A6" sqref="A6"/>
      <selection pane="bottomLeft" activeCell="F5" sqref="F5"/>
    </sheetView>
  </sheetViews>
  <sheetFormatPr defaultColWidth="9.1328125" defaultRowHeight="12.85" x14ac:dyDescent="0.35"/>
  <cols>
    <col min="1" max="1" width="5.59765625" style="23" customWidth="1"/>
    <col min="2" max="2" width="16.59765625" style="23" customWidth="1"/>
    <col min="3" max="3" width="17.265625" style="23" customWidth="1"/>
    <col min="4" max="4" width="17.59765625" style="23" customWidth="1"/>
    <col min="5" max="5" width="18.59765625" style="23" customWidth="1"/>
    <col min="6" max="6" width="18.265625" style="23" customWidth="1"/>
    <col min="7" max="7" width="14.73046875" style="23" customWidth="1"/>
    <col min="8" max="8" width="9.1328125" style="23"/>
    <col min="9" max="9" width="9.3984375" style="23" bestFit="1" customWidth="1"/>
    <col min="10" max="10" width="9.265625" style="23" bestFit="1" customWidth="1"/>
    <col min="11" max="16384" width="9.1328125" style="23"/>
  </cols>
  <sheetData>
    <row r="1" spans="1:12" s="133" customFormat="1" x14ac:dyDescent="0.35">
      <c r="A1" s="590"/>
    </row>
    <row r="2" spans="1:12" s="133" customFormat="1" ht="17.25" customHeight="1" x14ac:dyDescent="0.4">
      <c r="B2" s="134" t="s">
        <v>328</v>
      </c>
      <c r="C2" s="135">
        <f ca="1">Var_AfspraakDatum</f>
        <v>42736</v>
      </c>
      <c r="D2" s="136"/>
      <c r="E2" s="134" t="s">
        <v>329</v>
      </c>
      <c r="F2" s="137">
        <f>_Pat_OpnDatum</f>
        <v>42736</v>
      </c>
      <c r="G2" s="134" t="str">
        <f ca="1">"ICU-dag: "&amp;Var_AfspraakDatum-_Pat_OpnDatum+1</f>
        <v>ICU-dag: 1</v>
      </c>
      <c r="H2" s="134"/>
      <c r="I2" s="270" t="s">
        <v>551</v>
      </c>
      <c r="J2" s="139" t="str">
        <f>__1_Bed</f>
        <v>Unit 1.2</v>
      </c>
    </row>
    <row r="3" spans="1:12" s="133" customFormat="1" ht="17.25" customHeight="1" x14ac:dyDescent="0.4">
      <c r="B3" s="134" t="s">
        <v>28</v>
      </c>
      <c r="C3" s="138" t="str">
        <f>__2_AchterNaam&amp;", "&amp;__3_VoorNaam</f>
        <v>Test, Test</v>
      </c>
      <c r="D3" s="138"/>
      <c r="E3" s="134" t="s">
        <v>336</v>
      </c>
      <c r="F3" s="137">
        <f>__4_GebDatum</f>
        <v>42736</v>
      </c>
      <c r="G3" s="139" t="str">
        <f>"Gewicht: "&amp;_Pat_Gewicht/10&amp;" kg"</f>
        <v>Gewicht: 10 kg</v>
      </c>
      <c r="H3" s="134"/>
      <c r="I3" s="139" t="str">
        <f>"Lengte: "&amp;_Pat_Lengte&amp;" cm"</f>
        <v>Lengte: 80 cm</v>
      </c>
      <c r="J3" s="134"/>
    </row>
    <row r="4" spans="1:12" s="133" customFormat="1" ht="17.25" customHeight="1" x14ac:dyDescent="0.4">
      <c r="A4" s="163"/>
      <c r="B4" s="134" t="s">
        <v>371</v>
      </c>
      <c r="C4" s="139">
        <f>__0_PatNum</f>
        <v>123456</v>
      </c>
      <c r="D4" s="136"/>
      <c r="E4" s="134" t="s">
        <v>298</v>
      </c>
      <c r="F4" s="141" t="str">
        <f ca="1">TRUNC((Var_AfspraakDatum-__4_GebDatum)/365,0)&amp;" jaar en "&amp;TRUNC(((Var_AfspraakDatum-__4_GebDatum)-365*TRUNC((Var_AfspraakDatum-__4_GebDatum)/365,0))/30,0)&amp;" maand(-en)"</f>
        <v>0 jaar en 0 maand(-en)</v>
      </c>
      <c r="G4" s="134"/>
      <c r="H4" s="134" t="str">
        <f>"Lichamelijk oppervlak: "&amp;ROUND(POWER(_Pat_Gewicht/10,0.425)*POWER(((_Pat_Lengte/100)*100),0.725)*0.007184,2)&amp;" m2"</f>
        <v>Lichamelijk oppervlak: 0,46 m2</v>
      </c>
      <c r="I4" s="134"/>
      <c r="J4" s="134"/>
    </row>
    <row r="5" spans="1:12" ht="12.75" customHeight="1" x14ac:dyDescent="0.35"/>
    <row r="6" spans="1:12" ht="17.25" customHeight="1" x14ac:dyDescent="0.4">
      <c r="A6" s="585"/>
      <c r="B6" s="200" t="s">
        <v>25</v>
      </c>
      <c r="H6" s="628"/>
      <c r="I6" s="628"/>
      <c r="J6" s="628"/>
      <c r="K6" s="627"/>
      <c r="L6" s="627"/>
    </row>
    <row r="7" spans="1:12" ht="9.0500000000000007" customHeight="1" x14ac:dyDescent="0.35">
      <c r="H7" s="628"/>
      <c r="I7" s="628" t="s">
        <v>134</v>
      </c>
      <c r="J7" s="628" t="s">
        <v>361</v>
      </c>
      <c r="K7" s="627"/>
      <c r="L7" s="627"/>
    </row>
    <row r="8" spans="1:12" ht="17.25" customHeight="1" x14ac:dyDescent="0.35">
      <c r="A8" s="23">
        <v>1</v>
      </c>
      <c r="C8" s="195"/>
      <c r="E8" s="24"/>
      <c r="F8" s="196" t="str">
        <f>IF(INDEX(tblInfusenBer,PedBerIVenPM!B2,2)&lt;&gt;0,INDEX(tblInfusenBer,PedBerIVenPM!B2,2)&amp;" ml","")</f>
        <v/>
      </c>
      <c r="H8" s="628"/>
      <c r="I8" s="628" t="b">
        <f>IF(INDEX(tblInfusenBer,PedBerIVenPM!B2,2)&lt;&gt;0,INDEX(tblInfusenBer,PedBerIVenPM!B2,3))</f>
        <v>0</v>
      </c>
      <c r="J8" s="628">
        <f>IF(INDEX(tblInfusenBer,PedBerIVenPM!B2,2)&lt;&gt;0,INDEX(tblInfusenBer,PedBerIVenPM!B2,2),0)</f>
        <v>0</v>
      </c>
      <c r="K8" s="627"/>
      <c r="L8" s="627"/>
    </row>
    <row r="9" spans="1:12" ht="17.25" customHeight="1" x14ac:dyDescent="0.35">
      <c r="A9" s="23">
        <v>2</v>
      </c>
      <c r="E9" s="24"/>
      <c r="F9" s="196" t="str">
        <f>IF(INDEX(tblInfusenBer,PedBerIVenPM!B3,2)&lt;&gt;0,INDEX(tblInfusenBer,PedBerIVenPM!B3,2)&amp;" ml","")</f>
        <v/>
      </c>
      <c r="H9" s="628"/>
      <c r="I9" s="628" t="b">
        <f>IF(INDEX(tblInfusenBer,PedBerIVenPM!B3,2)&lt;&gt;0,INDEX(tblInfusenBer,PedBerIVenPM!B3,3))</f>
        <v>0</v>
      </c>
      <c r="J9" s="628">
        <f>IF(INDEX(tblInfusenBer,PedBerIVenPM!B3,2)&lt;&gt;0,INDEX(tblInfusenBer,PedBerIVenPM!B3,2),0)</f>
        <v>0</v>
      </c>
      <c r="K9" s="627"/>
      <c r="L9" s="627"/>
    </row>
    <row r="10" spans="1:12" ht="17.25" customHeight="1" x14ac:dyDescent="0.35">
      <c r="A10" s="23">
        <v>3</v>
      </c>
      <c r="E10" s="24"/>
      <c r="F10" s="196" t="str">
        <f>IF(INDEX(tblInfusenBer,PedBerIVenPM!B4,2)&lt;&gt;0,INDEX(tblInfusenBer,PedBerIVenPM!B4,2)&amp;" ml","")</f>
        <v/>
      </c>
      <c r="H10" s="628"/>
      <c r="I10" s="628" t="b">
        <f>IF(INDEX(tblInfusenBer,PedBerIVenPM!B4,2)&lt;&gt;0,INDEX(tblInfusenBer,PedBerIVenPM!B4,3))</f>
        <v>0</v>
      </c>
      <c r="J10" s="628">
        <f>IF(INDEX(tblInfusenBer,PedBerIVenPM!B4,2)&lt;&gt;0,INDEX(tblInfusenBer,PedBerIVenPM!B4,2),0)</f>
        <v>0</v>
      </c>
      <c r="K10" s="627"/>
      <c r="L10" s="627"/>
    </row>
    <row r="11" spans="1:12" ht="17.25" customHeight="1" x14ac:dyDescent="0.35">
      <c r="A11" s="23">
        <v>4</v>
      </c>
      <c r="E11" s="24"/>
      <c r="F11" s="196" t="str">
        <f>IF(INDEX(tblInfusenBer,PedBerIVenPM!B5,2)&lt;&gt;0,INDEX(tblInfusenBer,PedBerIVenPM!B5,2)&amp;" ml","")</f>
        <v/>
      </c>
      <c r="H11" s="628"/>
      <c r="I11" s="628" t="b">
        <f>IF(INDEX(tblInfusenBer,PedBerIVenPM!B5,2)&lt;&gt;0,INDEX(tblInfusenBer,PedBerIVenPM!B5,3))</f>
        <v>0</v>
      </c>
      <c r="J11" s="628">
        <f>IF(INDEX(tblInfusenBer,PedBerIVenPM!B5,2)&lt;&gt;0,INDEX(tblInfusenBer,PedBerIVenPM!B5,2),0)</f>
        <v>0</v>
      </c>
      <c r="K11" s="627"/>
      <c r="L11" s="627"/>
    </row>
    <row r="12" spans="1:12" ht="17.25" customHeight="1" x14ac:dyDescent="0.35">
      <c r="A12" s="23">
        <v>5</v>
      </c>
      <c r="E12" s="24"/>
      <c r="F12" s="196" t="str">
        <f>IF(INDEX(tblInfusenBer,PedBerIVenPM!B6,2)&lt;&gt;0,INDEX(tblInfusenBer,PedBerIVenPM!B6,2)&amp;" ml","")</f>
        <v/>
      </c>
      <c r="H12" s="628"/>
      <c r="I12" s="628" t="b">
        <f>IF(INDEX(tblInfusenBer,PedBerIVenPM!B6,2)&lt;&gt;0,INDEX(tblInfusenBer,PedBerIVenPM!B6,3))</f>
        <v>0</v>
      </c>
      <c r="J12" s="628">
        <f>IF(INDEX(tblInfusenBer,PedBerIVenPM!B6,2)&lt;&gt;0,INDEX(tblInfusenBer,PedBerIVenPM!B6,2),0)</f>
        <v>0</v>
      </c>
      <c r="K12" s="627"/>
      <c r="L12" s="627"/>
    </row>
    <row r="13" spans="1:12" ht="17.25" customHeight="1" x14ac:dyDescent="0.35">
      <c r="A13" s="23">
        <v>6</v>
      </c>
      <c r="E13" s="24"/>
      <c r="F13" s="196" t="str">
        <f>IF(INDEX(tblInfusenBer,PedBerIVenPM!B7,2)&lt;&gt;0,INDEX(tblInfusenBer,PedBerIVenPM!B7,2)&amp;" ml","")</f>
        <v/>
      </c>
      <c r="H13" s="628"/>
      <c r="I13" s="628" t="b">
        <f>IF(INDEX(tblInfusenBer,PedBerIVenPM!B7,2)&lt;&gt;0,INDEX(tblInfusenBer,PedBerIVenPM!B7,3))</f>
        <v>0</v>
      </c>
      <c r="J13" s="628">
        <f>IF(INDEX(tblInfusenBer,PedBerIVenPM!B7,2)&lt;&gt;0,INDEX(tblInfusenBer,PedBerIVenPM!B7,2),0)</f>
        <v>0</v>
      </c>
      <c r="K13" s="627"/>
      <c r="L13" s="627"/>
    </row>
    <row r="14" spans="1:12" ht="17.25" customHeight="1" x14ac:dyDescent="0.35">
      <c r="H14" s="628"/>
      <c r="I14" s="628"/>
      <c r="J14" s="628"/>
      <c r="K14" s="627"/>
      <c r="L14" s="627"/>
    </row>
    <row r="15" spans="1:12" ht="17.25" customHeight="1" x14ac:dyDescent="0.35">
      <c r="B15" s="163" t="s">
        <v>315</v>
      </c>
      <c r="C15" s="659">
        <f>GlobBerOpm!C2</f>
        <v>0</v>
      </c>
      <c r="D15" s="655"/>
      <c r="E15" s="655"/>
      <c r="F15" s="655"/>
      <c r="G15" s="655"/>
      <c r="H15" s="657"/>
      <c r="I15" s="657">
        <f>SUM(I8:I14)</f>
        <v>0</v>
      </c>
      <c r="J15" s="657">
        <f>SUM(J8:J14)</f>
        <v>0</v>
      </c>
      <c r="K15" s="627"/>
      <c r="L15" s="627"/>
    </row>
    <row r="16" spans="1:12" ht="17.25" customHeight="1" x14ac:dyDescent="0.35">
      <c r="B16" s="24"/>
      <c r="C16" s="24"/>
      <c r="D16" s="24"/>
      <c r="E16" s="24"/>
      <c r="F16" s="24"/>
      <c r="G16" s="24"/>
      <c r="H16" s="656"/>
      <c r="I16" s="656"/>
      <c r="J16" s="656"/>
      <c r="K16" s="627"/>
      <c r="L16" s="627"/>
    </row>
    <row r="17" spans="2:10" ht="20.100000000000001" customHeight="1" x14ac:dyDescent="0.35">
      <c r="B17" s="144"/>
      <c r="C17" s="198"/>
      <c r="D17" s="198"/>
      <c r="E17" s="198"/>
      <c r="F17" s="198"/>
      <c r="G17" s="198"/>
      <c r="H17" s="658"/>
      <c r="I17" s="658"/>
      <c r="J17" s="198"/>
    </row>
    <row r="18" spans="2:10" ht="20.100000000000001" customHeight="1" x14ac:dyDescent="0.4">
      <c r="B18" s="200" t="s">
        <v>20</v>
      </c>
      <c r="H18" s="198"/>
      <c r="I18" s="198"/>
      <c r="J18" s="198"/>
    </row>
    <row r="19" spans="2:10" ht="20.100000000000001" customHeight="1" x14ac:dyDescent="0.35"/>
    <row r="20" spans="2:10" ht="20.100000000000001" customHeight="1" x14ac:dyDescent="0.35">
      <c r="B20" s="133" t="s">
        <v>289</v>
      </c>
      <c r="E20" s="133" t="s">
        <v>62</v>
      </c>
    </row>
    <row r="21" spans="2:10" ht="20.100000000000001" customHeight="1" x14ac:dyDescent="0.35"/>
    <row r="22" spans="2:10" ht="13.2" x14ac:dyDescent="0.4">
      <c r="B22" s="133" t="s">
        <v>319</v>
      </c>
      <c r="C22" s="199" t="str">
        <f>IF(PedBerIVenPM!D1&gt;1,PedBerIVenPM!G1&amp;" /min","")</f>
        <v xml:space="preserve"> /min</v>
      </c>
    </row>
    <row r="23" spans="2:10" ht="17.25" customHeight="1" x14ac:dyDescent="0.4">
      <c r="C23" s="199"/>
    </row>
    <row r="24" spans="2:10" ht="17.25" customHeight="1" x14ac:dyDescent="0.4">
      <c r="B24" s="133" t="s">
        <v>63</v>
      </c>
      <c r="C24" s="199" t="str">
        <f>IF(PedBerIVenPM!D1&gt;1,(PedBerIVenPM!G2/10)&amp;" V","")</f>
        <v>0 V</v>
      </c>
    </row>
    <row r="25" spans="2:10" ht="17.25" customHeight="1" x14ac:dyDescent="0.4">
      <c r="B25" s="133" t="s">
        <v>64</v>
      </c>
      <c r="C25" s="199" t="str">
        <f>IF(PedBerIVenPM!D1&gt;1,(PedBerIVenPM!G3/10)&amp;" V","")</f>
        <v>0 V</v>
      </c>
    </row>
    <row r="26" spans="2:10" ht="17.25" customHeight="1" x14ac:dyDescent="0.4">
      <c r="C26" s="199"/>
    </row>
    <row r="27" spans="2:10" ht="17.25" customHeight="1" x14ac:dyDescent="0.4">
      <c r="B27" s="133" t="s">
        <v>65</v>
      </c>
      <c r="C27" s="199" t="str">
        <f>IF(PedBerIVenPM!D1&gt;1,PedBerIVenPM!G4&amp;" msec","")</f>
        <v xml:space="preserve"> msec</v>
      </c>
    </row>
    <row r="28" spans="2:10" ht="17.25" customHeight="1" x14ac:dyDescent="0.4">
      <c r="C28" s="199"/>
    </row>
    <row r="29" spans="2:10" ht="17.25" customHeight="1" x14ac:dyDescent="0.4">
      <c r="B29" s="133" t="s">
        <v>66</v>
      </c>
      <c r="C29" s="199" t="str">
        <f>IF(PedBerIVenPM!D1&gt;1,PedBerIVenPM!G5/10&amp;" mV","")</f>
        <v>0 mV</v>
      </c>
    </row>
    <row r="30" spans="2:10" ht="17.25" customHeight="1" x14ac:dyDescent="0.4">
      <c r="B30" s="133" t="s">
        <v>67</v>
      </c>
      <c r="C30" s="199" t="str">
        <f>IF(PedBerIVenPM!D1&gt;1,(PedBerIVenPM!G6/10)&amp;" mV","")</f>
        <v>0 mV</v>
      </c>
    </row>
    <row r="31" spans="2:10" ht="17.25" customHeight="1" x14ac:dyDescent="0.35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1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2" name="Drop Down 56">
              <controlPr defaultSize="0" autoLine="0" autoPict="0">
                <anchor moveWithCells="1">
                  <from>
                    <xdr:col>2</xdr:col>
                    <xdr:colOff>9575</xdr:colOff>
                    <xdr:row>19</xdr:row>
                    <xdr:rowOff>19150</xdr:rowOff>
                  </from>
                  <to>
                    <xdr:col>3</xdr:col>
                    <xdr:colOff>473956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3" name="Drop Down 57">
              <controlPr defaultSize="0" autoLine="0" autoPict="0">
                <anchor moveWithCells="1">
                  <from>
                    <xdr:col>5</xdr:col>
                    <xdr:colOff>9575</xdr:colOff>
                    <xdr:row>19</xdr:row>
                    <xdr:rowOff>19150</xdr:rowOff>
                  </from>
                  <to>
                    <xdr:col>6</xdr:col>
                    <xdr:colOff>411719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4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21</xdr:row>
                    <xdr:rowOff>28725</xdr:rowOff>
                  </from>
                  <to>
                    <xdr:col>3</xdr:col>
                    <xdr:colOff>0</xdr:colOff>
                    <xdr:row>22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5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6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24</xdr:row>
                    <xdr:rowOff>28725</xdr:rowOff>
                  </from>
                  <to>
                    <xdr:col>3</xdr:col>
                    <xdr:colOff>0</xdr:colOff>
                    <xdr:row>24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7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26</xdr:row>
                    <xdr:rowOff>28725</xdr:rowOff>
                  </from>
                  <to>
                    <xdr:col>3</xdr:col>
                    <xdr:colOff>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8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28</xdr:row>
                    <xdr:rowOff>28725</xdr:rowOff>
                  </from>
                  <to>
                    <xdr:col>3</xdr:col>
                    <xdr:colOff>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9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29</xdr:row>
                    <xdr:rowOff>28725</xdr:rowOff>
                  </from>
                  <to>
                    <xdr:col>3</xdr:col>
                    <xdr:colOff>0</xdr:colOff>
                    <xdr:row>29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H33"/>
  <sheetViews>
    <sheetView workbookViewId="0">
      <selection activeCell="G9" sqref="G9"/>
    </sheetView>
  </sheetViews>
  <sheetFormatPr defaultRowHeight="12.85" x14ac:dyDescent="0.35"/>
  <cols>
    <col min="1" max="2" width="15.3984375" customWidth="1"/>
  </cols>
  <sheetData>
    <row r="1" spans="1:8" ht="13.2" x14ac:dyDescent="0.4">
      <c r="A1" s="3" t="s">
        <v>1090</v>
      </c>
      <c r="B1" s="3" t="s">
        <v>1091</v>
      </c>
      <c r="D1" s="3" t="s">
        <v>288</v>
      </c>
      <c r="E1" s="3" t="s">
        <v>68</v>
      </c>
      <c r="F1" s="3" t="s">
        <v>226</v>
      </c>
      <c r="H1">
        <v>70</v>
      </c>
    </row>
    <row r="2" spans="1:8" ht="13.2" x14ac:dyDescent="0.4">
      <c r="A2" s="9">
        <v>1</v>
      </c>
      <c r="B2" s="9">
        <v>1</v>
      </c>
      <c r="F2" s="3" t="s">
        <v>284</v>
      </c>
      <c r="H2">
        <v>10</v>
      </c>
    </row>
    <row r="3" spans="1:8" ht="13.2" x14ac:dyDescent="0.4">
      <c r="A3" s="9">
        <v>2</v>
      </c>
      <c r="B3" s="9">
        <v>1</v>
      </c>
      <c r="F3" s="3" t="s">
        <v>285</v>
      </c>
      <c r="H3">
        <v>10</v>
      </c>
    </row>
    <row r="4" spans="1:8" ht="13.2" x14ac:dyDescent="0.4">
      <c r="A4" s="9">
        <v>3</v>
      </c>
      <c r="B4" s="9">
        <v>1</v>
      </c>
      <c r="F4" s="3" t="s">
        <v>286</v>
      </c>
      <c r="H4">
        <v>170</v>
      </c>
    </row>
    <row r="5" spans="1:8" ht="13.2" x14ac:dyDescent="0.4">
      <c r="A5" s="9">
        <v>4</v>
      </c>
      <c r="B5" s="9">
        <v>1</v>
      </c>
      <c r="C5" s="626"/>
      <c r="F5" s="3" t="s">
        <v>287</v>
      </c>
      <c r="H5">
        <v>20</v>
      </c>
    </row>
    <row r="6" spans="1:8" ht="13.2" x14ac:dyDescent="0.4">
      <c r="A6" s="9">
        <v>5</v>
      </c>
      <c r="B6" s="9">
        <v>1</v>
      </c>
      <c r="C6" s="626"/>
      <c r="F6" s="3" t="s">
        <v>322</v>
      </c>
      <c r="H6">
        <v>20</v>
      </c>
    </row>
    <row r="7" spans="1:8" ht="13.2" x14ac:dyDescent="0.4">
      <c r="A7" s="9">
        <v>6</v>
      </c>
      <c r="B7" s="9">
        <v>1</v>
      </c>
      <c r="C7" s="626"/>
    </row>
    <row r="8" spans="1:8" ht="13.2" x14ac:dyDescent="0.4">
      <c r="A8" s="626"/>
      <c r="B8" s="626"/>
      <c r="C8" s="626"/>
    </row>
    <row r="9" spans="1:8" ht="13.2" x14ac:dyDescent="0.4">
      <c r="A9" s="626"/>
      <c r="B9" s="626"/>
      <c r="C9" s="626"/>
    </row>
    <row r="10" spans="1:8" ht="13.2" x14ac:dyDescent="0.4">
      <c r="A10" s="626"/>
      <c r="B10" s="626"/>
      <c r="C10" s="626"/>
    </row>
    <row r="11" spans="1:8" ht="13.2" x14ac:dyDescent="0.4">
      <c r="A11" s="626"/>
      <c r="B11" s="626"/>
      <c r="C11" s="626"/>
    </row>
    <row r="12" spans="1:8" ht="13.2" x14ac:dyDescent="0.4">
      <c r="A12" s="626"/>
      <c r="B12" s="626"/>
      <c r="C12" s="626"/>
    </row>
    <row r="13" spans="1:8" ht="13.2" x14ac:dyDescent="0.4">
      <c r="A13" s="626"/>
      <c r="B13" s="626"/>
      <c r="C13" s="626"/>
    </row>
    <row r="14" spans="1:8" ht="13.2" x14ac:dyDescent="0.4">
      <c r="A14" s="626"/>
      <c r="B14" s="626"/>
      <c r="C14" s="626"/>
    </row>
    <row r="15" spans="1:8" ht="13.2" x14ac:dyDescent="0.4">
      <c r="A15" s="626"/>
      <c r="B15" s="626"/>
      <c r="C15" s="626"/>
    </row>
    <row r="16" spans="1:8" ht="13.2" x14ac:dyDescent="0.4">
      <c r="A16" s="626"/>
      <c r="B16" s="626"/>
      <c r="C16" s="626"/>
    </row>
    <row r="17" spans="1:3" ht="13.2" x14ac:dyDescent="0.4">
      <c r="A17" s="626"/>
      <c r="B17" s="626"/>
      <c r="C17" s="626"/>
    </row>
    <row r="18" spans="1:3" ht="13.2" x14ac:dyDescent="0.4">
      <c r="A18" s="626"/>
      <c r="B18" s="626"/>
      <c r="C18" s="626"/>
    </row>
    <row r="19" spans="1:3" ht="13.2" x14ac:dyDescent="0.4">
      <c r="A19" s="626"/>
      <c r="B19" s="626"/>
      <c r="C19" s="626"/>
    </row>
    <row r="20" spans="1:3" ht="13.2" x14ac:dyDescent="0.4">
      <c r="A20" s="626"/>
      <c r="B20" s="626"/>
      <c r="C20" s="626"/>
    </row>
    <row r="21" spans="1:3" ht="13.2" x14ac:dyDescent="0.4">
      <c r="A21" s="626"/>
      <c r="B21" s="626"/>
      <c r="C21" s="626"/>
    </row>
    <row r="22" spans="1:3" ht="13.2" x14ac:dyDescent="0.4">
      <c r="A22" s="626"/>
      <c r="B22" s="626"/>
      <c r="C22" s="626"/>
    </row>
    <row r="23" spans="1:3" ht="13.2" x14ac:dyDescent="0.4">
      <c r="A23" s="626"/>
      <c r="B23" s="626"/>
      <c r="C23" s="626"/>
    </row>
    <row r="24" spans="1:3" ht="13.2" x14ac:dyDescent="0.4">
      <c r="A24" s="626"/>
      <c r="B24" s="626"/>
      <c r="C24" s="626"/>
    </row>
    <row r="25" spans="1:3" ht="13.2" x14ac:dyDescent="0.4">
      <c r="A25" s="626"/>
      <c r="B25" s="626"/>
      <c r="C25" s="626"/>
    </row>
    <row r="26" spans="1:3" ht="13.2" x14ac:dyDescent="0.4">
      <c r="A26" s="626"/>
      <c r="B26" s="626"/>
      <c r="C26" s="626"/>
    </row>
    <row r="27" spans="1:3" ht="13.2" x14ac:dyDescent="0.4">
      <c r="A27" s="626"/>
      <c r="B27" s="626"/>
      <c r="C27" s="626"/>
    </row>
    <row r="28" spans="1:3" ht="13.2" x14ac:dyDescent="0.4">
      <c r="A28" s="626"/>
      <c r="B28" s="626"/>
      <c r="C28" s="626"/>
    </row>
    <row r="29" spans="1:3" ht="13.2" x14ac:dyDescent="0.4">
      <c r="A29" s="626"/>
      <c r="B29" s="626"/>
      <c r="C29" s="626"/>
    </row>
    <row r="30" spans="1:3" ht="13.2" x14ac:dyDescent="0.4">
      <c r="A30" s="626"/>
      <c r="B30" s="626"/>
      <c r="C30" s="626"/>
    </row>
    <row r="31" spans="1:3" ht="13.2" x14ac:dyDescent="0.4">
      <c r="A31" s="626"/>
      <c r="B31" s="626"/>
      <c r="C31" s="626"/>
    </row>
    <row r="32" spans="1:3" ht="13.2" x14ac:dyDescent="0.4">
      <c r="A32" s="626"/>
      <c r="B32" s="626"/>
      <c r="C32" s="626"/>
    </row>
    <row r="33" spans="1:3" ht="13.2" x14ac:dyDescent="0.4">
      <c r="A33" s="626"/>
      <c r="B33" s="626"/>
      <c r="C33" s="626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D3" sqref="D3"/>
    </sheetView>
  </sheetViews>
  <sheetFormatPr defaultRowHeight="12.85" x14ac:dyDescent="0.35"/>
  <cols>
    <col min="1" max="1" width="59.3984375" customWidth="1"/>
    <col min="5" max="6" width="18.73046875" customWidth="1"/>
  </cols>
  <sheetData>
    <row r="1" spans="1:6" s="3" customFormat="1" ht="13.2" x14ac:dyDescent="0.4">
      <c r="A1" s="3" t="s">
        <v>1088</v>
      </c>
      <c r="B1" s="3" t="s">
        <v>299</v>
      </c>
      <c r="C1" s="3" t="s">
        <v>1089</v>
      </c>
      <c r="E1" s="3" t="s">
        <v>1092</v>
      </c>
      <c r="F1" s="3" t="s">
        <v>1093</v>
      </c>
    </row>
    <row r="2" spans="1:6" ht="13.2" x14ac:dyDescent="0.4">
      <c r="A2" s="591"/>
      <c r="B2" s="517"/>
      <c r="C2" s="517"/>
      <c r="E2" s="517"/>
      <c r="F2" s="517"/>
    </row>
    <row r="3" spans="1:6" x14ac:dyDescent="0.35">
      <c r="A3" s="9" t="s">
        <v>168</v>
      </c>
      <c r="B3" s="517"/>
      <c r="C3" s="517"/>
      <c r="E3" s="517" t="s">
        <v>390</v>
      </c>
      <c r="F3" s="517" t="s">
        <v>281</v>
      </c>
    </row>
    <row r="4" spans="1:6" x14ac:dyDescent="0.35">
      <c r="A4" s="624" t="s">
        <v>1130</v>
      </c>
      <c r="B4" s="625">
        <v>48</v>
      </c>
      <c r="C4" s="625">
        <v>7.44</v>
      </c>
      <c r="E4" s="517" t="s">
        <v>279</v>
      </c>
      <c r="F4" s="517" t="s">
        <v>282</v>
      </c>
    </row>
    <row r="5" spans="1:6" x14ac:dyDescent="0.35">
      <c r="A5" s="624" t="s">
        <v>1131</v>
      </c>
      <c r="B5" s="625">
        <v>72</v>
      </c>
      <c r="C5" s="625">
        <v>11.16</v>
      </c>
      <c r="E5" s="517" t="s">
        <v>280</v>
      </c>
      <c r="F5" s="517" t="s">
        <v>283</v>
      </c>
    </row>
    <row r="6" spans="1:6" ht="13.2" x14ac:dyDescent="0.4">
      <c r="A6" s="624" t="s">
        <v>1052</v>
      </c>
      <c r="B6" s="626"/>
      <c r="C6" s="626"/>
    </row>
    <row r="7" spans="1:6" x14ac:dyDescent="0.35">
      <c r="A7" s="624" t="s">
        <v>1132</v>
      </c>
      <c r="B7" s="625">
        <v>48</v>
      </c>
      <c r="C7" s="625">
        <v>7.44</v>
      </c>
    </row>
    <row r="8" spans="1:6" x14ac:dyDescent="0.35">
      <c r="A8" s="624" t="s">
        <v>1133</v>
      </c>
      <c r="B8" s="625">
        <v>72</v>
      </c>
      <c r="C8" s="625">
        <v>11.16</v>
      </c>
    </row>
    <row r="9" spans="1:6" ht="13.2" x14ac:dyDescent="0.4">
      <c r="A9" s="624" t="s">
        <v>87</v>
      </c>
      <c r="B9" s="626"/>
      <c r="C9" s="626"/>
    </row>
    <row r="10" spans="1:6" ht="13.2" x14ac:dyDescent="0.4">
      <c r="A10" s="624" t="s">
        <v>428</v>
      </c>
      <c r="B10" s="626"/>
      <c r="C10" s="626"/>
    </row>
    <row r="11" spans="1:6" ht="13.2" x14ac:dyDescent="0.4">
      <c r="A11" s="624" t="s">
        <v>429</v>
      </c>
      <c r="B11" s="626"/>
      <c r="C11" s="626"/>
    </row>
    <row r="12" spans="1:6" ht="13.2" x14ac:dyDescent="0.4">
      <c r="A12" s="624" t="s">
        <v>368</v>
      </c>
      <c r="B12" s="626"/>
      <c r="C12" s="626"/>
    </row>
    <row r="13" spans="1:6" ht="13.2" x14ac:dyDescent="0.4">
      <c r="A13" s="624" t="s">
        <v>369</v>
      </c>
      <c r="B13" s="626"/>
      <c r="C13" s="626"/>
    </row>
    <row r="14" spans="1:6" ht="13.2" x14ac:dyDescent="0.4">
      <c r="A14" s="624" t="s">
        <v>133</v>
      </c>
      <c r="B14" s="626"/>
      <c r="C14" s="626"/>
    </row>
    <row r="15" spans="1:6" x14ac:dyDescent="0.35">
      <c r="A15" s="624" t="s">
        <v>1134</v>
      </c>
      <c r="B15" s="625">
        <v>48</v>
      </c>
      <c r="C15" s="625">
        <v>7.44</v>
      </c>
    </row>
    <row r="16" spans="1:6" x14ac:dyDescent="0.35">
      <c r="A16" s="624" t="s">
        <v>1135</v>
      </c>
      <c r="B16" s="625">
        <v>72</v>
      </c>
      <c r="C16" s="625">
        <v>11.16</v>
      </c>
    </row>
    <row r="17" spans="1:1" x14ac:dyDescent="0.35">
      <c r="A17" s="624" t="s">
        <v>201</v>
      </c>
    </row>
    <row r="18" spans="1:1" x14ac:dyDescent="0.35">
      <c r="A18" s="624" t="s">
        <v>428</v>
      </c>
    </row>
    <row r="19" spans="1:1" x14ac:dyDescent="0.35">
      <c r="A19" s="624" t="s">
        <v>429</v>
      </c>
    </row>
    <row r="20" spans="1:1" x14ac:dyDescent="0.35">
      <c r="A20" s="624" t="s">
        <v>370</v>
      </c>
    </row>
    <row r="21" spans="1:1" x14ac:dyDescent="0.35">
      <c r="A21" s="624" t="s">
        <v>343</v>
      </c>
    </row>
    <row r="22" spans="1:1" x14ac:dyDescent="0.35">
      <c r="A22" s="624" t="s">
        <v>167</v>
      </c>
    </row>
    <row r="23" spans="1:1" x14ac:dyDescent="0.35">
      <c r="A23" s="624" t="s">
        <v>344</v>
      </c>
    </row>
    <row r="24" spans="1:1" x14ac:dyDescent="0.35">
      <c r="A24" s="624" t="s">
        <v>330</v>
      </c>
    </row>
    <row r="25" spans="1:1" x14ac:dyDescent="0.35">
      <c r="A25" s="624" t="s">
        <v>1136</v>
      </c>
    </row>
    <row r="26" spans="1:1" x14ac:dyDescent="0.35">
      <c r="A26" s="624" t="s">
        <v>409</v>
      </c>
    </row>
    <row r="27" spans="1:1" x14ac:dyDescent="0.35">
      <c r="A27" s="624" t="s">
        <v>407</v>
      </c>
    </row>
    <row r="28" spans="1:1" x14ac:dyDescent="0.35">
      <c r="A28" s="624" t="s">
        <v>408</v>
      </c>
    </row>
    <row r="29" spans="1:1" x14ac:dyDescent="0.35">
      <c r="A29" s="624" t="s">
        <v>1137</v>
      </c>
    </row>
    <row r="30" spans="1:1" x14ac:dyDescent="0.35">
      <c r="A30" s="624" t="s">
        <v>1138</v>
      </c>
    </row>
    <row r="31" spans="1:1" x14ac:dyDescent="0.35">
      <c r="A31" s="624" t="s">
        <v>451</v>
      </c>
    </row>
    <row r="32" spans="1:1" x14ac:dyDescent="0.35">
      <c r="A32" s="624" t="s">
        <v>452</v>
      </c>
    </row>
    <row r="33" spans="1:3" x14ac:dyDescent="0.35">
      <c r="A33" s="624" t="s">
        <v>1180</v>
      </c>
      <c r="B33" s="625"/>
      <c r="C33" s="625"/>
    </row>
    <row r="34" spans="1:3" x14ac:dyDescent="0.35">
      <c r="A34" s="624" t="s">
        <v>1172</v>
      </c>
      <c r="B34" s="625">
        <v>48</v>
      </c>
      <c r="C34" s="625">
        <v>7.44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A1:V38"/>
  <sheetViews>
    <sheetView zoomScaleNormal="100" workbookViewId="0">
      <pane ySplit="5" topLeftCell="A6" activePane="bottomLeft" state="frozen"/>
      <selection activeCell="A6" sqref="A6"/>
      <selection pane="bottomLeft" activeCell="C11" sqref="C11"/>
    </sheetView>
  </sheetViews>
  <sheetFormatPr defaultColWidth="9.1328125" defaultRowHeight="12.85" x14ac:dyDescent="0.35"/>
  <cols>
    <col min="1" max="1" width="2.265625" style="24" customWidth="1"/>
    <col min="2" max="2" width="3.1328125" style="23" customWidth="1"/>
    <col min="3" max="3" width="14.265625" style="23" customWidth="1"/>
    <col min="4" max="4" width="14.3984375" style="23" customWidth="1"/>
    <col min="5" max="5" width="12.1328125" style="23" customWidth="1"/>
    <col min="6" max="6" width="26.3984375" style="23" customWidth="1"/>
    <col min="7" max="7" width="13.86328125" style="23" customWidth="1"/>
    <col min="8" max="8" width="15.265625" style="23" customWidth="1"/>
    <col min="9" max="9" width="15.1328125" style="23" customWidth="1"/>
    <col min="10" max="12" width="9.1328125" style="23"/>
    <col min="13" max="13" width="10.3984375" style="23" customWidth="1"/>
    <col min="14" max="15" width="9.1328125" style="23"/>
    <col min="16" max="16" width="10.73046875" style="23" bestFit="1" customWidth="1"/>
    <col min="17" max="18" width="9.1328125" style="23"/>
    <col min="19" max="19" width="10.73046875" style="23" bestFit="1" customWidth="1"/>
    <col min="20" max="16384" width="9.1328125" style="23"/>
  </cols>
  <sheetData>
    <row r="1" spans="1:22" s="133" customFormat="1" x14ac:dyDescent="0.35">
      <c r="A1" s="592"/>
    </row>
    <row r="2" spans="1:22" s="133" customFormat="1" ht="13.2" x14ac:dyDescent="0.4">
      <c r="A2" s="163"/>
      <c r="B2" s="134" t="s">
        <v>328</v>
      </c>
      <c r="D2" s="135">
        <f ca="1">Var_AfspraakDatum</f>
        <v>42736</v>
      </c>
      <c r="E2" s="136"/>
      <c r="F2" s="134" t="s">
        <v>329</v>
      </c>
      <c r="G2" s="137">
        <f>_Pat_OpnDatum</f>
        <v>42736</v>
      </c>
      <c r="H2" s="134" t="str">
        <f ca="1">"ICU-dag: "&amp;Var_AfspraakDatum-_Pat_OpnDatum+1</f>
        <v>ICU-dag: 1</v>
      </c>
      <c r="I2" s="139" t="str">
        <f>"Gewicht: "&amp;_Pat_Gewicht/10&amp;" kg"</f>
        <v>Gewicht: 10 kg</v>
      </c>
      <c r="J2" s="134"/>
    </row>
    <row r="3" spans="1:22" s="133" customFormat="1" ht="13.2" x14ac:dyDescent="0.4">
      <c r="A3" s="163"/>
      <c r="B3" s="134" t="s">
        <v>28</v>
      </c>
      <c r="D3" s="138" t="str">
        <f>__2_AchterNaam&amp;", "&amp;__3_VoorNaam</f>
        <v>Test, Test</v>
      </c>
      <c r="E3" s="138"/>
      <c r="F3" s="134" t="s">
        <v>336</v>
      </c>
      <c r="G3" s="137">
        <f>__4_GebDatum</f>
        <v>42736</v>
      </c>
      <c r="H3" s="139"/>
      <c r="I3" s="139" t="str">
        <f>"Lengte: "&amp;_Pat_Lengte&amp;" cm"</f>
        <v>Lengte: 80 cm</v>
      </c>
      <c r="J3" s="134"/>
      <c r="L3" s="514"/>
      <c r="M3" s="513"/>
    </row>
    <row r="4" spans="1:22" s="133" customFormat="1" ht="13.2" x14ac:dyDescent="0.4">
      <c r="A4" s="163"/>
      <c r="B4" s="134" t="s">
        <v>371</v>
      </c>
      <c r="D4" s="139">
        <f>__0_PatNum</f>
        <v>123456</v>
      </c>
      <c r="E4" s="136"/>
      <c r="F4" s="134" t="s">
        <v>298</v>
      </c>
      <c r="G4" s="141" t="str">
        <f ca="1">TRUNC((Var_AfspraakDatum-__4_GebDatum)/365,0)&amp;" jaar en "&amp;TRUNC(((Var_AfspraakDatum-__4_GebDatum)-365*TRUNC((Var_AfspraakDatum-__4_GebDatum)/365,0))/30,0)&amp;" maand(-en)"</f>
        <v>0 jaar en 0 maand(-en)</v>
      </c>
      <c r="H4" s="134"/>
      <c r="I4" s="134" t="str">
        <f>"Lichamelijk oppervlak: "&amp;ROUND(POWER(_Pat_Gewicht/10,0.425)*POWER(((_Pat_Lengte/100)*100),0.725)*0.007184,2)&amp;" m2"</f>
        <v>Lichamelijk oppervlak: 0,46 m2</v>
      </c>
      <c r="J4" s="134"/>
    </row>
    <row r="5" spans="1:22" s="133" customFormat="1" ht="13.2" x14ac:dyDescent="0.4">
      <c r="A5" s="163"/>
      <c r="B5" s="270" t="s">
        <v>551</v>
      </c>
      <c r="D5" s="270" t="str">
        <f>__1_Bed</f>
        <v>Unit 1.2</v>
      </c>
      <c r="E5" s="136"/>
      <c r="F5" s="134"/>
      <c r="G5" s="141"/>
      <c r="H5" s="134"/>
    </row>
    <row r="6" spans="1:22" ht="13.2" x14ac:dyDescent="0.4">
      <c r="A6" s="601"/>
      <c r="C6" s="71"/>
      <c r="D6" s="145"/>
      <c r="E6" s="63"/>
      <c r="F6" s="71"/>
      <c r="G6" s="146"/>
      <c r="H6" s="71"/>
      <c r="I6" s="71"/>
      <c r="J6" s="71"/>
      <c r="K6" s="71"/>
    </row>
    <row r="7" spans="1:22" ht="17.25" customHeight="1" x14ac:dyDescent="0.4">
      <c r="C7" s="200" t="s">
        <v>170</v>
      </c>
      <c r="I7" s="24"/>
      <c r="J7" s="24"/>
      <c r="K7" s="24"/>
      <c r="L7" s="213" t="s">
        <v>180</v>
      </c>
      <c r="N7" s="194"/>
    </row>
    <row r="8" spans="1:22" ht="19.55" customHeight="1" x14ac:dyDescent="0.4">
      <c r="B8" s="24"/>
      <c r="C8" s="213" t="s">
        <v>307</v>
      </c>
      <c r="D8" s="24"/>
      <c r="E8" s="24"/>
      <c r="F8" s="24"/>
      <c r="G8" s="24"/>
      <c r="H8" s="24"/>
      <c r="I8" s="24"/>
      <c r="J8" s="24"/>
      <c r="K8" s="24"/>
      <c r="L8" s="23" t="s">
        <v>117</v>
      </c>
      <c r="O8" s="24"/>
    </row>
    <row r="9" spans="1:22" ht="19.55" customHeight="1" x14ac:dyDescent="0.35">
      <c r="B9" s="196"/>
      <c r="C9" s="202" t="str">
        <f>IF(PedBerEnt!M2&lt;&gt;0,PedBerEnt!J2&amp;" dd","")</f>
        <v/>
      </c>
      <c r="D9" s="203" t="str">
        <f>IF(PedBerEnt!M2&lt;&gt;0,PedBerEnt!L2&amp;" ml","")</f>
        <v/>
      </c>
      <c r="E9" s="196"/>
      <c r="F9" s="196"/>
      <c r="G9" s="196" t="str">
        <f>IF(C9="24 dd","continue drip","")</f>
        <v/>
      </c>
      <c r="H9" s="196" t="str">
        <f>IF(PedBerEnt!N2&gt;1,PedBerEnt!M2&amp;" ml per dag","")</f>
        <v/>
      </c>
      <c r="I9" s="196"/>
      <c r="J9" s="24"/>
      <c r="L9" s="133"/>
      <c r="M9" s="191" t="s">
        <v>181</v>
      </c>
      <c r="N9" s="224">
        <f>PedBerEnt!H2</f>
        <v>0</v>
      </c>
      <c r="O9" s="24"/>
      <c r="P9" s="26"/>
      <c r="Q9" s="26"/>
      <c r="R9" s="26"/>
      <c r="S9" s="26"/>
      <c r="T9" s="26"/>
      <c r="U9" s="26"/>
      <c r="V9" s="26"/>
    </row>
    <row r="10" spans="1:22" ht="19.55" customHeight="1" x14ac:dyDescent="0.4">
      <c r="B10" s="196"/>
      <c r="C10" s="213" t="s">
        <v>1046</v>
      </c>
      <c r="D10" s="203"/>
      <c r="E10" s="196"/>
      <c r="F10" s="196"/>
      <c r="G10" s="196"/>
      <c r="H10" s="196"/>
      <c r="I10" s="196"/>
      <c r="J10" s="24"/>
      <c r="L10" s="133"/>
      <c r="M10" s="191" t="s">
        <v>241</v>
      </c>
      <c r="N10" s="224">
        <f>PedBerEnt!H3</f>
        <v>0</v>
      </c>
      <c r="O10" s="26" t="s">
        <v>31</v>
      </c>
      <c r="P10" s="26"/>
      <c r="Q10" s="26"/>
      <c r="R10" s="26"/>
      <c r="S10" s="26"/>
      <c r="T10" s="26"/>
      <c r="U10" s="26"/>
      <c r="V10" s="26"/>
    </row>
    <row r="11" spans="1:22" ht="19.55" customHeight="1" x14ac:dyDescent="0.35">
      <c r="B11" s="196"/>
      <c r="C11" s="202" t="str">
        <f>IF(PedBerEnt!N3&gt;1,PedBerEnt!J3&amp;" dd","")</f>
        <v/>
      </c>
      <c r="D11" s="203" t="str">
        <f>IF(PedBerEnt!N3&gt;1,PedBerEnt!L3&amp;" gram","")</f>
        <v/>
      </c>
      <c r="E11" s="196"/>
      <c r="F11" s="196"/>
      <c r="G11" s="196"/>
      <c r="H11" s="196" t="str">
        <f>IF(PedBerEnt!N3&gt;1,PedBerEnt!M3&amp;" gram/dag","")</f>
        <v/>
      </c>
      <c r="I11" s="197" t="str">
        <f>IF(AND(PedBerEnt!M3&lt;&gt;0,PedBerEnt!M2&lt;&gt;0),"= "&amp;ROUND(PedBerEnt!M3*100/PedBerEnt!M2,1)&amp;"% extra","")</f>
        <v/>
      </c>
      <c r="J11" s="24"/>
      <c r="L11" s="133"/>
      <c r="M11" s="191" t="s">
        <v>182</v>
      </c>
      <c r="N11" s="224">
        <f>PedBerEnt!H4</f>
        <v>0</v>
      </c>
      <c r="O11" s="26" t="s">
        <v>31</v>
      </c>
      <c r="P11" s="26"/>
      <c r="Q11" s="26"/>
      <c r="R11" s="26"/>
      <c r="S11" s="26"/>
      <c r="T11" s="26"/>
      <c r="U11" s="26"/>
      <c r="V11" s="26"/>
    </row>
    <row r="12" spans="1:22" ht="19.55" customHeight="1" x14ac:dyDescent="0.35">
      <c r="B12" s="196"/>
      <c r="C12" s="202" t="str">
        <f>IF(PedBerEnt!N4&gt;1,PedBerEnt!J4&amp;" dd","")</f>
        <v/>
      </c>
      <c r="D12" s="203" t="str">
        <f>IF(PedBerEnt!N4&gt;1,PedBerEnt!L4&amp;" gram","")</f>
        <v/>
      </c>
      <c r="E12" s="196"/>
      <c r="F12" s="196"/>
      <c r="G12" s="196"/>
      <c r="H12" s="196" t="str">
        <f>IF(PedBerEnt!N4&gt;1,PedBerEnt!M4&amp;" gram per dag","")</f>
        <v/>
      </c>
      <c r="I12" s="197" t="str">
        <f>IF(AND(PedBerEnt!M4&lt;&gt;0,PedBerEnt!M3&lt;&gt;0),"= "&amp;ROUND(PedBerEnt!M4*100/PedBerEnt!M2,1)&amp;"% extra","")</f>
        <v/>
      </c>
      <c r="J12" s="24"/>
      <c r="L12" s="133"/>
      <c r="M12" s="217" t="s">
        <v>242</v>
      </c>
      <c r="N12" s="224">
        <f>PedBerEnt!H5</f>
        <v>0</v>
      </c>
      <c r="O12" s="26" t="s">
        <v>31</v>
      </c>
      <c r="P12" s="26"/>
      <c r="Q12" s="26"/>
      <c r="R12" s="26"/>
      <c r="S12" s="26"/>
      <c r="T12" s="26"/>
      <c r="U12" s="26"/>
      <c r="V12" s="26"/>
    </row>
    <row r="13" spans="1:22" ht="19.55" customHeight="1" x14ac:dyDescent="0.35">
      <c r="B13" s="196"/>
      <c r="C13" s="202" t="str">
        <f>IF(PedBerEnt!N5&gt;1,PedBerEnt!J5&amp;" dd","")</f>
        <v/>
      </c>
      <c r="D13" s="203" t="str">
        <f>IF(PedBerEnt!N5&gt;1,PedBerEnt!L5&amp;" gram","")</f>
        <v/>
      </c>
      <c r="E13" s="196"/>
      <c r="F13" s="196"/>
      <c r="G13" s="196"/>
      <c r="H13" s="196" t="str">
        <f>IF(PedBerEnt!N5&gt;1,PedBerEnt!M5&amp;" gram per dag","")</f>
        <v/>
      </c>
      <c r="I13" s="197" t="str">
        <f>IF(AND(PedBerEnt!M5&lt;&gt;0,PedBerEnt!M4&lt;&gt;0),"= "&amp;ROUND(PedBerEnt!M5*100/PedBerEnt!M2,1)&amp;"% extra","")</f>
        <v/>
      </c>
      <c r="J13" s="24"/>
      <c r="L13" s="133"/>
      <c r="M13" s="217" t="s">
        <v>183</v>
      </c>
      <c r="N13" s="224">
        <f>PedBerEnt!H6</f>
        <v>0</v>
      </c>
      <c r="O13" s="26" t="s">
        <v>176</v>
      </c>
      <c r="P13" s="26"/>
      <c r="Q13" s="26"/>
      <c r="R13" s="26"/>
      <c r="S13" s="26"/>
      <c r="T13" s="26"/>
      <c r="U13" s="26"/>
      <c r="V13" s="26"/>
    </row>
    <row r="14" spans="1:22" ht="19.55" customHeight="1" x14ac:dyDescent="0.35">
      <c r="B14" s="24"/>
      <c r="C14" s="144"/>
      <c r="D14" s="71"/>
      <c r="E14" s="24"/>
      <c r="F14" s="24"/>
      <c r="G14" s="24"/>
      <c r="H14" s="24"/>
      <c r="I14" s="24"/>
      <c r="J14" s="24"/>
      <c r="L14" s="218"/>
      <c r="M14" s="217" t="s">
        <v>302</v>
      </c>
      <c r="N14" s="224">
        <f>PedBerEnt!H7</f>
        <v>0</v>
      </c>
      <c r="O14" s="26" t="s">
        <v>176</v>
      </c>
      <c r="P14" s="26"/>
      <c r="Q14" s="26"/>
      <c r="R14" s="26"/>
      <c r="S14" s="26"/>
      <c r="T14" s="26"/>
      <c r="U14" s="26"/>
      <c r="V14" s="26"/>
    </row>
    <row r="15" spans="1:22" ht="19.55" customHeight="1" x14ac:dyDescent="0.35">
      <c r="B15" s="222"/>
      <c r="C15" s="192" t="s">
        <v>315</v>
      </c>
      <c r="D15" s="223">
        <f>GlobBerOpm!C6</f>
        <v>0</v>
      </c>
      <c r="E15" s="224"/>
      <c r="F15" s="224"/>
      <c r="G15" s="224"/>
      <c r="H15" s="224"/>
      <c r="I15" s="224"/>
      <c r="J15" s="224"/>
      <c r="K15" s="224"/>
      <c r="L15" s="218"/>
      <c r="M15" s="217" t="s">
        <v>243</v>
      </c>
      <c r="N15" s="224">
        <f>PedBerEnt!H8</f>
        <v>0</v>
      </c>
      <c r="O15" s="26" t="s">
        <v>176</v>
      </c>
      <c r="P15" s="26"/>
      <c r="Q15" s="26"/>
      <c r="R15" s="26"/>
      <c r="S15" s="26"/>
      <c r="T15" s="26"/>
      <c r="U15" s="26"/>
      <c r="V15" s="26"/>
    </row>
    <row r="16" spans="1:22" ht="21.8" customHeight="1" x14ac:dyDescent="0.4">
      <c r="B16" s="24"/>
      <c r="C16" s="213" t="s">
        <v>308</v>
      </c>
      <c r="H16" s="201"/>
      <c r="J16" s="26"/>
      <c r="K16" s="26"/>
      <c r="L16" s="218"/>
      <c r="M16" s="219" t="s">
        <v>184</v>
      </c>
      <c r="N16" s="224">
        <f>PedBerEnt!H9</f>
        <v>0</v>
      </c>
      <c r="O16" s="26" t="s">
        <v>176</v>
      </c>
      <c r="P16" s="26"/>
      <c r="Q16" s="26"/>
      <c r="R16" s="26"/>
      <c r="S16" s="26"/>
      <c r="T16" s="26"/>
      <c r="U16" s="26"/>
      <c r="V16" s="26"/>
    </row>
    <row r="17" spans="2:22" ht="23.3" customHeight="1" x14ac:dyDescent="0.4">
      <c r="B17" s="163"/>
      <c r="C17" s="226" t="s">
        <v>366</v>
      </c>
      <c r="D17" s="194" t="str">
        <f>IF(PedBerTPN!F3&lt;&gt;0,IF(PedBerTPN!F3/24&gt;=10,ROUND(PedBerTPN!F3/24,1),ROUND(PedBerTPN!F3/24,1))&amp;" ml/uur","")</f>
        <v/>
      </c>
      <c r="E17" s="71" t="str">
        <f>IF(D17&lt;&gt;"",PedBerTPN!F3&amp;" ml per dag","")</f>
        <v/>
      </c>
      <c r="F17" s="24"/>
      <c r="G17" s="196"/>
      <c r="H17" s="226" t="s">
        <v>367</v>
      </c>
      <c r="I17" s="194" t="str">
        <f>IF(PedBerTPN!D19&lt;&gt;0,PedBerTPN!E19&amp;" ml/uur","")</f>
        <v/>
      </c>
      <c r="J17" s="71" t="str">
        <f>IF(I17&lt;&gt;"",PedBerTPN!F19&amp;" ml per dag","")</f>
        <v/>
      </c>
      <c r="K17" s="24"/>
      <c r="L17" s="163"/>
      <c r="M17" s="217" t="s">
        <v>340</v>
      </c>
      <c r="N17" s="224">
        <f>PedBerEnt!H10</f>
        <v>0</v>
      </c>
      <c r="O17" s="26" t="s">
        <v>176</v>
      </c>
      <c r="P17" s="26"/>
      <c r="T17" s="26"/>
      <c r="U17" s="26"/>
      <c r="V17" s="26"/>
    </row>
    <row r="18" spans="2:22" ht="23.3" customHeight="1" x14ac:dyDescent="0.4">
      <c r="B18" s="163"/>
      <c r="C18" s="226"/>
      <c r="D18" s="24"/>
      <c r="E18" s="194" t="str">
        <f>IF(AND(PedBerTPN!E4&lt;&gt;0,PedBerTPN!E4&lt;&gt;"",PedBerTPN!B4&lt;&gt;1,PedBerTPN!F4&lt;&gt;0),PedBerTPN!F4&amp;" ml","")</f>
        <v/>
      </c>
      <c r="F18" s="193" t="str">
        <f>IF(AND(_Pat_Gewicht/10&gt;=16,_Ped_TPN_Keuze=2),"Peditrace","")</f>
        <v/>
      </c>
      <c r="G18" s="206" t="str">
        <f>IF(AND(_Pat_Gewicht/10&gt;=16,PedBerTPN!F5&gt;0),PedBerTPN!F5&amp;" ml","")</f>
        <v/>
      </c>
      <c r="H18" s="163"/>
      <c r="I18" s="24"/>
      <c r="J18" s="208"/>
      <c r="K18" s="209"/>
      <c r="N18" s="224"/>
      <c r="P18" s="26"/>
      <c r="T18" s="26"/>
      <c r="U18" s="26"/>
      <c r="V18" s="26"/>
    </row>
    <row r="19" spans="2:22" ht="23.3" customHeight="1" x14ac:dyDescent="0.4">
      <c r="B19" s="163"/>
      <c r="C19" s="163"/>
      <c r="D19" s="24"/>
      <c r="E19" s="194" t="str">
        <f>IF(PedBerTPN!F6&lt;&gt;0,ROUND(PedBerTPN!F6,1)&amp;" ml","")</f>
        <v/>
      </c>
      <c r="F19" s="869" t="str">
        <f>IF(AND(_Pat_Gewicht/10&gt;50,_Ped_TPN_Keuze=2),"in 100 ml glucose 10%, "&amp;ROUND((PedBerTPN!F5+PedBerTPN!F17)/24,1)&amp;" ml/uur","")</f>
        <v/>
      </c>
      <c r="G19" s="869"/>
      <c r="H19" s="163"/>
      <c r="I19" s="24"/>
      <c r="J19" s="194" t="str">
        <f>IF(PedBerTPN!F20&lt;&gt;0,ROUND(PedBerTPN!F20,1)&amp;" ml","")</f>
        <v/>
      </c>
      <c r="K19" s="207"/>
      <c r="P19" s="26"/>
      <c r="T19" s="26"/>
      <c r="U19" s="26"/>
      <c r="V19" s="26"/>
    </row>
    <row r="20" spans="2:22" ht="19.55" customHeight="1" x14ac:dyDescent="0.4">
      <c r="B20" s="163"/>
      <c r="C20" s="163" t="s">
        <v>359</v>
      </c>
      <c r="D20" s="24"/>
      <c r="E20" s="194" t="str">
        <f>IF(PedBerTPN!C7,PedBerTPN!F7&amp;" ml","")</f>
        <v/>
      </c>
      <c r="F20" s="24"/>
      <c r="G20" s="24"/>
      <c r="H20" s="216" t="s">
        <v>359</v>
      </c>
      <c r="I20" s="24"/>
      <c r="J20" s="194" t="str">
        <f>IF(PedBerTPN!C21,PedBerTPN!F21&amp;" ml","")</f>
        <v/>
      </c>
      <c r="K20" s="207"/>
      <c r="L20" s="24"/>
      <c r="P20" s="26"/>
      <c r="T20" s="26"/>
      <c r="U20" s="26"/>
      <c r="V20" s="26"/>
    </row>
    <row r="21" spans="2:22" ht="19.55" customHeight="1" x14ac:dyDescent="0.4">
      <c r="B21" s="163"/>
      <c r="C21" s="163" t="s">
        <v>245</v>
      </c>
      <c r="D21" s="24"/>
      <c r="E21" s="194" t="str">
        <f>IF(PedBerTPN!C8,PedBerTPN!F8&amp;" ml","")</f>
        <v/>
      </c>
      <c r="F21" s="24"/>
      <c r="G21" s="24"/>
      <c r="H21" s="216" t="s">
        <v>245</v>
      </c>
      <c r="I21" s="24"/>
      <c r="J21" s="194" t="str">
        <f>IF(PedBerTPN!C22,PedBerTPN!F22&amp;" ml","")</f>
        <v/>
      </c>
      <c r="K21" s="207"/>
      <c r="L21" s="24"/>
      <c r="P21" s="26"/>
      <c r="T21" s="26"/>
      <c r="U21" s="26"/>
      <c r="V21" s="26"/>
    </row>
    <row r="22" spans="2:22" ht="10" customHeight="1" x14ac:dyDescent="0.4">
      <c r="B22" s="24"/>
      <c r="C22" s="24"/>
      <c r="D22" s="24"/>
      <c r="E22" s="194"/>
      <c r="F22" s="24"/>
      <c r="G22" s="24"/>
      <c r="H22" s="144"/>
      <c r="I22" s="24"/>
      <c r="J22" s="194"/>
      <c r="K22" s="207"/>
      <c r="L22" s="24"/>
      <c r="P22" s="26"/>
      <c r="T22" s="26"/>
      <c r="U22" s="26"/>
      <c r="V22" s="26"/>
    </row>
    <row r="23" spans="2:22" ht="19.55" customHeight="1" x14ac:dyDescent="0.4">
      <c r="B23" s="163"/>
      <c r="C23" s="163" t="s">
        <v>360</v>
      </c>
      <c r="D23" s="24"/>
      <c r="E23" s="194" t="str">
        <f>IF(PedBerTPN!C9,PedBerTPN!D9&amp;" ml","")</f>
        <v/>
      </c>
      <c r="F23" s="24"/>
      <c r="G23" s="194" t="str">
        <f>IF(AND(_Pat_Gewicht/10&lt;=50,_Ped_TPN_SST1Keuze&lt;11,_Ped_TPN_Keuze=2),"in "&amp;PedBerTPN!F17&amp;" ml glucose 10% ="&amp;ROUND((PedBerTPN!F17+PedBerTPN!F10+PedBerTPN!F9)/24,1)&amp;" ml/uur","")</f>
        <v/>
      </c>
      <c r="H23" s="144"/>
      <c r="I23" s="24"/>
      <c r="J23" s="208"/>
      <c r="K23" s="209"/>
      <c r="L23" s="26"/>
      <c r="M23" s="24"/>
      <c r="N23" s="26"/>
      <c r="O23" s="26"/>
      <c r="P23" s="26"/>
      <c r="T23" s="26"/>
      <c r="U23" s="26"/>
      <c r="V23" s="26"/>
    </row>
    <row r="24" spans="2:22" s="24" customFormat="1" ht="19.55" customHeight="1" x14ac:dyDescent="0.4">
      <c r="B24" s="163"/>
      <c r="C24" s="163" t="s">
        <v>341</v>
      </c>
      <c r="E24" s="194" t="str">
        <f>IF(PedBerTPN!C10,PedBerTPN!D10&amp;" ml","")</f>
        <v/>
      </c>
      <c r="J24" s="208"/>
      <c r="K24" s="209"/>
      <c r="L24" s="208"/>
      <c r="M24" s="208"/>
      <c r="N24" s="208"/>
      <c r="O24" s="208"/>
      <c r="P24" s="208"/>
      <c r="T24" s="208"/>
      <c r="U24" s="208"/>
      <c r="V24" s="208"/>
    </row>
    <row r="25" spans="2:22" s="24" customFormat="1" ht="10" customHeight="1" x14ac:dyDescent="0.4">
      <c r="E25" s="194"/>
      <c r="J25" s="208"/>
      <c r="K25" s="208"/>
      <c r="L25" s="208"/>
      <c r="M25" s="208"/>
      <c r="N25" s="208"/>
      <c r="O25" s="208"/>
      <c r="P25" s="208"/>
      <c r="T25" s="208"/>
      <c r="U25" s="208"/>
      <c r="V25" s="208"/>
    </row>
    <row r="26" spans="2:22" ht="24.05" customHeight="1" x14ac:dyDescent="0.4">
      <c r="B26" s="214"/>
      <c r="C26" s="214" t="s">
        <v>339</v>
      </c>
      <c r="D26" s="196"/>
      <c r="E26" s="204" t="str">
        <f>IF(PedBerTPN!C11,PedBerTPN!F11&amp;" ml","")</f>
        <v/>
      </c>
      <c r="F26" s="196"/>
      <c r="G26" s="196" t="str">
        <f>IF(PedBerTPN!F11&gt;0,ROUND(PedBerTPN!F11*1.5/(_Pat_Gewicht/10),2)&amp;" mmol/kg","")</f>
        <v/>
      </c>
      <c r="H26" s="196" t="str">
        <f>IF(PedBerTPN!F11&gt;0,"plus "&amp;(ROUND(PedBerTPN!F11*1.5/(_Pat_Gewicht/10)/24/0.01,1)*24-PedBerTPN!F11)&amp;" ml gluc 5%, "&amp;((ROUND(PedBerTPN!F11*1.5/(_Pat_Gewicht/10)/24/0.01,1)*24-PedBerTPN!F11)+PedBerTPN!F11)/24&amp;" ml/uur","")</f>
        <v/>
      </c>
      <c r="I26" s="196"/>
      <c r="J26" s="26"/>
      <c r="K26" s="26"/>
      <c r="L26" s="26"/>
      <c r="M26" s="26"/>
      <c r="N26" s="26"/>
      <c r="O26" s="26"/>
      <c r="P26" s="26"/>
      <c r="T26" s="26"/>
      <c r="U26" s="26"/>
      <c r="V26" s="26"/>
    </row>
    <row r="27" spans="2:22" ht="23.3" customHeight="1" x14ac:dyDescent="0.4">
      <c r="B27" s="24"/>
      <c r="C27" s="194" t="s">
        <v>214</v>
      </c>
      <c r="D27" s="194" t="str">
        <f>IF(PedBerTPN!D12&lt;&gt;0,PedBerTPN!E12&amp;" ml/uur","")</f>
        <v/>
      </c>
      <c r="E27" s="194"/>
      <c r="F27" s="24"/>
      <c r="G27" s="24"/>
      <c r="H27" s="24" t="str">
        <f>IF(PedBerTPN!F12&lt;&gt;0,PedBerTPN!F12&amp;" ml per dag","")</f>
        <v/>
      </c>
      <c r="I27" s="24"/>
      <c r="J27" s="26"/>
      <c r="K27" s="26"/>
      <c r="L27" s="26"/>
      <c r="M27" s="26"/>
      <c r="N27" s="26"/>
      <c r="O27" s="26"/>
      <c r="P27" s="26"/>
      <c r="T27" s="26"/>
      <c r="U27" s="26"/>
      <c r="V27" s="26"/>
    </row>
    <row r="28" spans="2:22" ht="19.55" customHeight="1" x14ac:dyDescent="0.4">
      <c r="B28" s="215"/>
      <c r="C28" s="215" t="s">
        <v>215</v>
      </c>
      <c r="D28" s="206"/>
      <c r="E28" s="205" t="str">
        <f>IF(PedBerTPN!F13&lt;&gt;0,ROUND(PedBerTPN!F13,0)&amp;" ml","")</f>
        <v/>
      </c>
      <c r="F28" s="206"/>
      <c r="G28" s="206"/>
      <c r="H28" s="206"/>
      <c r="I28" s="210"/>
      <c r="J28" s="26"/>
      <c r="K28" s="26"/>
      <c r="L28" s="26"/>
      <c r="M28" s="26"/>
      <c r="N28" s="26"/>
      <c r="O28" s="26"/>
      <c r="P28" s="26"/>
      <c r="T28" s="26"/>
      <c r="U28" s="26"/>
      <c r="V28" s="26"/>
    </row>
    <row r="29" spans="2:22" ht="18.75" customHeight="1" x14ac:dyDescent="0.4">
      <c r="B29" s="163"/>
      <c r="C29" s="163" t="s">
        <v>216</v>
      </c>
      <c r="D29" s="24"/>
      <c r="E29" s="194" t="str">
        <f>IF(PedBerTPN!C14,PedBerTPN!F14&amp;" ml","")</f>
        <v/>
      </c>
      <c r="F29" s="24"/>
      <c r="G29" s="24"/>
      <c r="H29" s="24"/>
      <c r="I29" s="211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</row>
    <row r="30" spans="2:22" ht="19.55" customHeight="1" x14ac:dyDescent="0.4">
      <c r="B30" s="214"/>
      <c r="C30" s="214" t="s">
        <v>217</v>
      </c>
      <c r="D30" s="196"/>
      <c r="E30" s="204" t="str">
        <f>IF(PedBerTPN!C15,PedBerTPN!F15&amp;" ml","")</f>
        <v/>
      </c>
      <c r="F30" s="196"/>
      <c r="G30" s="196"/>
      <c r="H30" s="196"/>
      <c r="I30" s="212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</row>
    <row r="31" spans="2:22" ht="10" customHeight="1" x14ac:dyDescent="0.4">
      <c r="B31" s="24"/>
      <c r="C31" s="24"/>
      <c r="D31" s="24"/>
      <c r="E31" s="194"/>
      <c r="F31" s="24"/>
      <c r="G31" s="24"/>
      <c r="H31" s="24"/>
      <c r="I31" s="24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</row>
    <row r="32" spans="2:22" ht="19.55" customHeight="1" x14ac:dyDescent="0.35">
      <c r="B32" s="222"/>
      <c r="C32" s="192" t="s">
        <v>315</v>
      </c>
      <c r="D32" s="223">
        <f>GlobBerOpm!C4</f>
        <v>0</v>
      </c>
      <c r="E32" s="224"/>
      <c r="F32" s="224"/>
      <c r="G32" s="224"/>
      <c r="H32" s="224"/>
      <c r="I32" s="224"/>
      <c r="J32" s="225"/>
      <c r="K32" s="225"/>
      <c r="L32" s="225"/>
      <c r="M32" s="225"/>
      <c r="N32" s="225"/>
      <c r="O32" s="225"/>
      <c r="P32" s="225"/>
      <c r="Q32" s="26"/>
      <c r="R32" s="26"/>
      <c r="S32" s="26"/>
      <c r="T32" s="26"/>
      <c r="U32" s="26"/>
      <c r="V32" s="26"/>
    </row>
    <row r="33" spans="2:22" ht="10.5" customHeight="1" x14ac:dyDescent="0.4">
      <c r="B33" s="24"/>
      <c r="C33" s="194"/>
      <c r="D33" s="24"/>
      <c r="E33" s="194"/>
      <c r="F33" s="24"/>
      <c r="G33" s="24"/>
      <c r="H33" s="24"/>
      <c r="I33" s="24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</row>
    <row r="34" spans="2:22" ht="13.2" x14ac:dyDescent="0.4">
      <c r="B34" s="220" t="s">
        <v>299</v>
      </c>
      <c r="C34" s="220"/>
      <c r="D34" s="221" t="str">
        <f>ROUND(PedBerTot!C2,0)&amp;" ml/kg"</f>
        <v>0 ml/kg</v>
      </c>
      <c r="E34" s="220" t="str">
        <f ca="1">ROUND(GlobBerNorm!$A$18,0)&amp;" ml/kg"</f>
        <v>30 ml/kg</v>
      </c>
      <c r="F34" s="220" t="str">
        <f>"= "&amp;ROUND(PedBerTot!C2*_Pat_Gewicht/10,0)&amp;" ml/dag"</f>
        <v>= 0 ml/dag</v>
      </c>
      <c r="G34" s="220"/>
      <c r="H34" s="220" t="s">
        <v>241</v>
      </c>
      <c r="I34" s="221" t="str">
        <f>ROUND(PedBerTot!$C$9,1)&amp;"  gram/kg"</f>
        <v>0  gram/kg</v>
      </c>
      <c r="J34" s="220" t="str">
        <f>IF(_Pat_Gewicht/10&lt;30,"2-2,5 g/kg","1,5 g/kg")</f>
        <v>2-2,5 g/kg</v>
      </c>
      <c r="K34" s="220"/>
      <c r="L34" s="229"/>
      <c r="M34" s="230"/>
      <c r="N34" s="230"/>
      <c r="O34" s="230"/>
      <c r="P34" s="230"/>
    </row>
    <row r="35" spans="2:22" ht="13.2" x14ac:dyDescent="0.4">
      <c r="B35" s="220" t="s">
        <v>300</v>
      </c>
      <c r="C35" s="220"/>
      <c r="D35" s="221" t="str">
        <f>ROUND(PedBerTot!E44,0)&amp;" kCal/kg"</f>
        <v>0 kCal/kg</v>
      </c>
      <c r="E35" s="220" t="str">
        <f ca="1">GlobBerNorm!$A$21&amp;" kCal/kg"</f>
        <v>100 kCal/kg</v>
      </c>
      <c r="F35" s="220"/>
      <c r="G35" s="220"/>
      <c r="H35" s="220" t="s">
        <v>242</v>
      </c>
      <c r="I35" s="221" t="str">
        <f>ROUND(PedBerTot!$C$13,1)&amp;" gram/kg"</f>
        <v>0 gram/kg</v>
      </c>
      <c r="J35" s="220" t="str">
        <f>IF(_Pat_Gewicht/10&lt;30,"4 g/kg","2 g/kg")</f>
        <v>4 g/kg</v>
      </c>
      <c r="K35" s="220"/>
      <c r="L35" s="229"/>
      <c r="M35" s="230"/>
      <c r="N35" s="230"/>
      <c r="O35" s="230"/>
      <c r="P35" s="230"/>
    </row>
    <row r="36" spans="2:22" ht="13.2" x14ac:dyDescent="0.4">
      <c r="B36" s="220" t="s">
        <v>260</v>
      </c>
      <c r="C36" s="220"/>
      <c r="D36" s="221" t="str">
        <f>ROUND(PedBerTot!C5,1)&amp;" g/kg"</f>
        <v>0 g/kg</v>
      </c>
      <c r="E36" s="220" t="s">
        <v>379</v>
      </c>
      <c r="F36" s="220" t="str">
        <f>"= "&amp;ROUND(PedBerTot!C5/1.4,1)&amp;" mg/kg/min"</f>
        <v>= 0 mg/kg/min</v>
      </c>
      <c r="G36" s="220"/>
      <c r="H36" s="220" t="s">
        <v>243</v>
      </c>
      <c r="I36" s="221" t="str">
        <f>ROUND(PedBerTot!$C$27,1)&amp;" mmol/kg"</f>
        <v>0 mmol/kg</v>
      </c>
      <c r="J36" s="220" t="s">
        <v>455</v>
      </c>
      <c r="K36" s="220"/>
      <c r="L36" s="229"/>
      <c r="M36" s="230"/>
      <c r="N36" s="230"/>
      <c r="O36" s="230"/>
      <c r="P36" s="230"/>
    </row>
    <row r="37" spans="2:22" ht="13.2" x14ac:dyDescent="0.4">
      <c r="B37" s="220" t="s">
        <v>301</v>
      </c>
      <c r="C37" s="220"/>
      <c r="D37" s="221" t="str">
        <f>ROUND(PedBerTot!C17,1)&amp;" mmol/kg"</f>
        <v>0 mmol/kg</v>
      </c>
      <c r="E37" s="220" t="s">
        <v>373</v>
      </c>
      <c r="F37" s="220"/>
      <c r="G37" s="220"/>
      <c r="H37" s="220" t="s">
        <v>340</v>
      </c>
      <c r="I37" s="221" t="str">
        <f>ROUND(PedBerTot!$C$33,1)&amp;" mmol/kg"</f>
        <v>0 mmol/kg</v>
      </c>
      <c r="J37" s="220" t="s">
        <v>378</v>
      </c>
      <c r="K37" s="220"/>
      <c r="L37" s="229"/>
      <c r="M37" s="230"/>
      <c r="N37" s="230"/>
      <c r="O37" s="230"/>
      <c r="P37" s="230"/>
    </row>
    <row r="38" spans="2:22" ht="13.2" x14ac:dyDescent="0.4">
      <c r="B38" s="220" t="s">
        <v>302</v>
      </c>
      <c r="C38" s="220"/>
      <c r="D38" s="221" t="str">
        <f>ROUND(PedBerTot!C23,1)&amp;" mmol/kg"</f>
        <v>0 mmol/kg</v>
      </c>
      <c r="E38" s="220" t="s">
        <v>372</v>
      </c>
      <c r="F38" s="220"/>
      <c r="G38" s="220"/>
      <c r="H38" s="220" t="s">
        <v>244</v>
      </c>
      <c r="I38" s="221" t="str">
        <f>ROUND(PedBerTot!$C$30,1)&amp;" mmol/kg"</f>
        <v>0 mmol/kg</v>
      </c>
      <c r="J38" s="220" t="s">
        <v>377</v>
      </c>
      <c r="K38" s="220"/>
      <c r="L38" s="229"/>
      <c r="M38" s="230"/>
      <c r="N38" s="230"/>
      <c r="O38" s="230"/>
      <c r="P38" s="230"/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1">
    <mergeCell ref="F19:G19"/>
  </mergeCells>
  <phoneticPr fontId="29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3</xdr:col>
                    <xdr:colOff>694178</xdr:colOff>
                    <xdr:row>8</xdr:row>
                    <xdr:rowOff>67024</xdr:rowOff>
                  </from>
                  <to>
                    <xdr:col>3</xdr:col>
                    <xdr:colOff>818651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Intake_Vervolgkeuzelijst4_BijWijzigen">
                <anchor moveWithCells="1">
                  <from>
                    <xdr:col>4</xdr:col>
                    <xdr:colOff>0</xdr:colOff>
                    <xdr:row>8</xdr:row>
                    <xdr:rowOff>28725</xdr:rowOff>
                  </from>
                  <to>
                    <xdr:col>5</xdr:col>
                    <xdr:colOff>1713902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16</xdr:row>
                    <xdr:rowOff>67024</xdr:rowOff>
                  </from>
                  <to>
                    <xdr:col>3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19</xdr:row>
                    <xdr:rowOff>28725</xdr:rowOff>
                  </from>
                  <to>
                    <xdr:col>5</xdr:col>
                    <xdr:colOff>229797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28725</xdr:rowOff>
                  </from>
                  <to>
                    <xdr:col>5</xdr:col>
                    <xdr:colOff>229797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19</xdr:row>
                    <xdr:rowOff>47874</xdr:rowOff>
                  </from>
                  <to>
                    <xdr:col>2</xdr:col>
                    <xdr:colOff>124473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22</xdr:row>
                    <xdr:rowOff>47874</xdr:rowOff>
                  </from>
                  <to>
                    <xdr:col>2</xdr:col>
                    <xdr:colOff>124473</xdr:colOff>
                    <xdr:row>23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26</xdr:row>
                    <xdr:rowOff>76599</xdr:rowOff>
                  </from>
                  <to>
                    <xdr:col>4</xdr:col>
                    <xdr:colOff>134048</xdr:colOff>
                    <xdr:row>26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28</xdr:row>
                    <xdr:rowOff>47874</xdr:rowOff>
                  </from>
                  <to>
                    <xdr:col>2</xdr:col>
                    <xdr:colOff>124473</xdr:colOff>
                    <xdr:row>29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28</xdr:row>
                    <xdr:rowOff>28725</xdr:rowOff>
                  </from>
                  <to>
                    <xdr:col>5</xdr:col>
                    <xdr:colOff>229797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29</xdr:row>
                    <xdr:rowOff>28725</xdr:rowOff>
                  </from>
                  <to>
                    <xdr:col>5</xdr:col>
                    <xdr:colOff>229797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6</xdr:row>
                    <xdr:rowOff>9575</xdr:rowOff>
                  </from>
                  <to>
                    <xdr:col>5</xdr:col>
                    <xdr:colOff>19150</xdr:colOff>
                    <xdr:row>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23</xdr:row>
                    <xdr:rowOff>47874</xdr:rowOff>
                  </from>
                  <to>
                    <xdr:col>2</xdr:col>
                    <xdr:colOff>124473</xdr:colOff>
                    <xdr:row>24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25</xdr:row>
                    <xdr:rowOff>95749</xdr:rowOff>
                  </from>
                  <to>
                    <xdr:col>2</xdr:col>
                    <xdr:colOff>114898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23</xdr:row>
                    <xdr:rowOff>28725</xdr:rowOff>
                  </from>
                  <to>
                    <xdr:col>5</xdr:col>
                    <xdr:colOff>229797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124473</xdr:rowOff>
                  </from>
                  <to>
                    <xdr:col>5</xdr:col>
                    <xdr:colOff>229797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17</xdr:row>
                    <xdr:rowOff>67024</xdr:rowOff>
                  </from>
                  <to>
                    <xdr:col>3</xdr:col>
                    <xdr:colOff>440444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18</xdr:row>
                    <xdr:rowOff>67024</xdr:rowOff>
                  </from>
                  <to>
                    <xdr:col>3</xdr:col>
                    <xdr:colOff>430869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17</xdr:row>
                    <xdr:rowOff>76599</xdr:rowOff>
                  </from>
                  <to>
                    <xdr:col>5</xdr:col>
                    <xdr:colOff>220222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Vervolgkeuzelijst57_BijWijzigen">
                <anchor moveWithCells="1">
                  <from>
                    <xdr:col>4</xdr:col>
                    <xdr:colOff>0</xdr:colOff>
                    <xdr:row>10</xdr:row>
                    <xdr:rowOff>28725</xdr:rowOff>
                  </from>
                  <to>
                    <xdr:col>5</xdr:col>
                    <xdr:colOff>1713902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17</xdr:row>
                    <xdr:rowOff>76599</xdr:rowOff>
                  </from>
                  <to>
                    <xdr:col>6</xdr:col>
                    <xdr:colOff>655879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11</xdr:row>
                    <xdr:rowOff>76599</xdr:rowOff>
                  </from>
                  <to>
                    <xdr:col>2</xdr:col>
                    <xdr:colOff>856951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11</xdr:row>
                    <xdr:rowOff>67024</xdr:rowOff>
                  </from>
                  <to>
                    <xdr:col>3</xdr:col>
                    <xdr:colOff>799502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Vervolgkeuzelijst62_BijWijzigen">
                <anchor moveWithCells="1">
                  <from>
                    <xdr:col>4</xdr:col>
                    <xdr:colOff>0</xdr:colOff>
                    <xdr:row>11</xdr:row>
                    <xdr:rowOff>28725</xdr:rowOff>
                  </from>
                  <to>
                    <xdr:col>5</xdr:col>
                    <xdr:colOff>1713902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12</xdr:row>
                    <xdr:rowOff>76599</xdr:rowOff>
                  </from>
                  <to>
                    <xdr:col>2</xdr:col>
                    <xdr:colOff>856951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12</xdr:row>
                    <xdr:rowOff>67024</xdr:rowOff>
                  </from>
                  <to>
                    <xdr:col>3</xdr:col>
                    <xdr:colOff>799502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Vervolgkeuzelijst65_BijWijzigen">
                <anchor moveWithCells="1">
                  <from>
                    <xdr:col>4</xdr:col>
                    <xdr:colOff>0</xdr:colOff>
                    <xdr:row>12</xdr:row>
                    <xdr:rowOff>28725</xdr:rowOff>
                  </from>
                  <to>
                    <xdr:col>5</xdr:col>
                    <xdr:colOff>1713902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16</xdr:row>
                    <xdr:rowOff>67024</xdr:rowOff>
                  </from>
                  <to>
                    <xdr:col>8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19</xdr:row>
                    <xdr:rowOff>38299</xdr:rowOff>
                  </from>
                  <to>
                    <xdr:col>10</xdr:col>
                    <xdr:colOff>450019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20</xdr:row>
                    <xdr:rowOff>28725</xdr:rowOff>
                  </from>
                  <to>
                    <xdr:col>10</xdr:col>
                    <xdr:colOff>459594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19</xdr:row>
                    <xdr:rowOff>47874</xdr:rowOff>
                  </from>
                  <to>
                    <xdr:col>7</xdr:col>
                    <xdr:colOff>335120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20</xdr:row>
                    <xdr:rowOff>47874</xdr:rowOff>
                  </from>
                  <to>
                    <xdr:col>7</xdr:col>
                    <xdr:colOff>335120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18</xdr:row>
                    <xdr:rowOff>67024</xdr:rowOff>
                  </from>
                  <to>
                    <xdr:col>8</xdr:col>
                    <xdr:colOff>569705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9</xdr:col>
                    <xdr:colOff>76599</xdr:colOff>
                    <xdr:row>1</xdr:row>
                    <xdr:rowOff>143623</xdr:rowOff>
                  </from>
                  <to>
                    <xdr:col>9</xdr:col>
                    <xdr:colOff>210647</xdr:colOff>
                    <xdr:row>3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5" name="Check Box 77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O13"/>
  <sheetViews>
    <sheetView workbookViewId="0">
      <selection activeCell="N2" sqref="N2"/>
    </sheetView>
  </sheetViews>
  <sheetFormatPr defaultRowHeight="12.85" x14ac:dyDescent="0.35"/>
  <cols>
    <col min="1" max="1" width="5.3984375" customWidth="1"/>
    <col min="3" max="3" width="11" bestFit="1" customWidth="1"/>
    <col min="5" max="5" width="10.265625" customWidth="1"/>
    <col min="6" max="6" width="11.86328125" customWidth="1"/>
    <col min="9" max="9" width="25.3984375" customWidth="1"/>
    <col min="12" max="12" width="9.3984375" bestFit="1" customWidth="1"/>
  </cols>
  <sheetData>
    <row r="1" spans="1:15" x14ac:dyDescent="0.35">
      <c r="A1" s="577"/>
      <c r="C1" s="248" t="s">
        <v>307</v>
      </c>
      <c r="D1" s="248" t="s">
        <v>538</v>
      </c>
      <c r="E1" s="248" t="s">
        <v>539</v>
      </c>
      <c r="F1" s="248" t="s">
        <v>540</v>
      </c>
      <c r="G1" s="248" t="s">
        <v>541</v>
      </c>
      <c r="H1" s="248" t="s">
        <v>542</v>
      </c>
      <c r="I1" s="248"/>
      <c r="J1" t="s">
        <v>125</v>
      </c>
      <c r="K1" t="s">
        <v>94</v>
      </c>
      <c r="M1" t="s">
        <v>306</v>
      </c>
      <c r="N1" t="s">
        <v>262</v>
      </c>
      <c r="O1" s="248" t="s">
        <v>547</v>
      </c>
    </row>
    <row r="2" spans="1:15" x14ac:dyDescent="0.35">
      <c r="A2" s="26">
        <v>1</v>
      </c>
      <c r="B2" s="26" t="s">
        <v>255</v>
      </c>
      <c r="C2" s="26">
        <f>IF(PedBerEnt!$M$2&lt;&gt;0,INDEX(tblPerOs,_Ped_Ent_Keuze_1,A2+1)*PedBerEnt!$M$2,0)</f>
        <v>0</v>
      </c>
      <c r="D2" s="26">
        <f>IF(PedBerEnt!$M$3&lt;&gt;0,INDEX(tblPoeder,PedBerEnt!$N$3,$A2+1)*PedBerEnt!$M$3,0)</f>
        <v>0</v>
      </c>
      <c r="E2" s="26">
        <f>IF(PedBerEnt!$M$4&lt;&gt;0,INDEX(tblPoeder,PedBerEnt!$N$4,$A2+1)*PedBerEnt!$M$4,0)</f>
        <v>0</v>
      </c>
      <c r="F2" s="26">
        <f>IF(PedBerEnt!$M$5&lt;&gt;0,INDEX(tblPoeder,PedBerEnt!$N$5,$A2+1)*PedBerEnt!$M$5,0)</f>
        <v>0</v>
      </c>
      <c r="G2" s="26">
        <f t="shared" ref="G2:G13" si="0">SUM(C2:F2)</f>
        <v>0</v>
      </c>
      <c r="I2" s="266"/>
      <c r="J2" s="26">
        <v>1</v>
      </c>
      <c r="K2" s="26">
        <v>0</v>
      </c>
      <c r="L2">
        <f>IF(K2&lt;51,K2/10,IF(K2&lt;66,(K2-49)+4,IF(K2&lt;82,(K2-61)*5,IF(K2&lt;122,(K2-71)*10,(K2-111)*50))))</f>
        <v>0</v>
      </c>
      <c r="M2" s="26">
        <f>IF(N2&gt;1,J2*L2,0)</f>
        <v>0</v>
      </c>
      <c r="N2">
        <v>1</v>
      </c>
      <c r="O2">
        <v>1</v>
      </c>
    </row>
    <row r="3" spans="1:15" x14ac:dyDescent="0.35">
      <c r="A3" s="26">
        <v>2</v>
      </c>
      <c r="B3" s="26" t="s">
        <v>212</v>
      </c>
      <c r="C3" s="26">
        <f>IF(PedBerEnt!$M$2&lt;&gt;0,INDEX(tblPerOs,_Ped_Ent_Keuze_1,A3+1)*PedBerEnt!$M$2,0)</f>
        <v>0</v>
      </c>
      <c r="D3" s="26">
        <f>IF(PedBerEnt!$M$3&lt;&gt;0,INDEX(tblPoeder,PedBerEnt!$N$3,$A3+1)*PedBerEnt!$M$3,0)</f>
        <v>0</v>
      </c>
      <c r="E3" s="26">
        <f>IF(PedBerEnt!$M$4&lt;&gt;0,INDEX(tblPoeder,PedBerEnt!$N$4,$A3+1)*PedBerEnt!$M$4,0)</f>
        <v>0</v>
      </c>
      <c r="F3" s="26">
        <f>IF(PedBerEnt!$M$5&lt;&gt;0,INDEX(tblPoeder,PedBerEnt!$N$5,$A3+1)*PedBerEnt!$M$5,0)</f>
        <v>0</v>
      </c>
      <c r="G3" s="26">
        <f t="shared" si="0"/>
        <v>0</v>
      </c>
      <c r="I3" s="266"/>
      <c r="L3">
        <f>IF(K3&lt;51,K3/10,IF(K3&lt;66,(K3-49)+4,IF(K3&lt;82,(K3-61)*5,IF(K3&lt;122,(K3-71)*10,(K3-111)*50))))</f>
        <v>0</v>
      </c>
      <c r="M3" s="26">
        <f>IF(N3&gt;1,J3*L3,0)</f>
        <v>0</v>
      </c>
    </row>
    <row r="4" spans="1:15" x14ac:dyDescent="0.35">
      <c r="A4" s="26">
        <v>3</v>
      </c>
      <c r="B4" s="26" t="s">
        <v>256</v>
      </c>
      <c r="C4" s="26">
        <f>IF(PedBerEnt!$M$2&lt;&gt;0,INDEX(tblPerOs,_Ped_Ent_Keuze_1,A4+1)*PedBerEnt!$M$2,0)</f>
        <v>0</v>
      </c>
      <c r="D4" s="26">
        <f>IF(PedBerEnt!$M$3&lt;&gt;0,INDEX(tblPoeder,PedBerEnt!$N$3,$A4+1)*PedBerEnt!$M$3,0)</f>
        <v>0</v>
      </c>
      <c r="E4" s="26">
        <f>IF(PedBerEnt!$M$4&lt;&gt;0,INDEX(tblPoeder,PedBerEnt!$N$4,$A4+1)*PedBerEnt!$M$4,0)</f>
        <v>0</v>
      </c>
      <c r="F4" s="26">
        <f>IF(PedBerEnt!$M$5&lt;&gt;0,INDEX(tblPoeder,PedBerEnt!$N$5,$A4+1)*PedBerEnt!$M$5,0)</f>
        <v>0</v>
      </c>
      <c r="G4" s="26">
        <f t="shared" si="0"/>
        <v>0</v>
      </c>
      <c r="I4" s="266"/>
      <c r="L4">
        <f>IF(K4&lt;51,K4/10,IF(K4&lt;66,(K4-49)+4,IF(K4&lt;82,(K4-61)*5,IF(K4&lt;122,(K4-71)*10,(K4-111)*50))))</f>
        <v>0</v>
      </c>
      <c r="M4" s="26">
        <f>IF(N4&gt;1,J4*L4,0)</f>
        <v>0</v>
      </c>
    </row>
    <row r="5" spans="1:15" x14ac:dyDescent="0.35">
      <c r="A5" s="26">
        <v>4</v>
      </c>
      <c r="B5" s="26" t="s">
        <v>213</v>
      </c>
      <c r="C5" s="26">
        <f>IF(PedBerEnt!$M$2&lt;&gt;0,INDEX(tblPerOs,_Ped_Ent_Keuze_1,A5+1)*PedBerEnt!$M$2,0)</f>
        <v>0</v>
      </c>
      <c r="D5" s="26">
        <f>IF(PedBerEnt!$M$3&lt;&gt;0,INDEX(tblPoeder,PedBerEnt!$N$3,$A5+1)*PedBerEnt!$M$3,0)</f>
        <v>0</v>
      </c>
      <c r="E5" s="26">
        <f>IF(PedBerEnt!$M$4&lt;&gt;0,INDEX(tblPoeder,PedBerEnt!$N$4,$A5+1)*PedBerEnt!$M$4,0)</f>
        <v>0</v>
      </c>
      <c r="F5" s="26">
        <f>IF(PedBerEnt!$M$5&lt;&gt;0,INDEX(tblPoeder,PedBerEnt!$N$5,$A5+1)*PedBerEnt!$M$5,0)</f>
        <v>0</v>
      </c>
      <c r="G5" s="26">
        <f t="shared" si="0"/>
        <v>0</v>
      </c>
      <c r="I5" s="266"/>
      <c r="L5">
        <f>IF(K5&lt;51,K5/10,IF(K5&lt;66,(K5-49)+4,IF(K5&lt;82,(K5-61)*5,IF(K5&lt;122,(K5-71)*10,(K5-111)*50))))</f>
        <v>0</v>
      </c>
      <c r="M5" s="26">
        <f>IF(N5&gt;1,J5*L5,0)</f>
        <v>0</v>
      </c>
    </row>
    <row r="6" spans="1:15" x14ac:dyDescent="0.35">
      <c r="A6" s="26">
        <v>5</v>
      </c>
      <c r="B6" s="26" t="s">
        <v>248</v>
      </c>
      <c r="C6" s="26">
        <f>IF(PedBerEnt!$M$2&lt;&gt;0,INDEX(tblPerOs,_Ped_Ent_Keuze_1,A6+1)*PedBerEnt!$M$2,0)</f>
        <v>0</v>
      </c>
      <c r="D6" s="26">
        <f>IF(PedBerEnt!$M$3&lt;&gt;0,INDEX(tblPoeder,PedBerEnt!$N$3,$A6+1)*PedBerEnt!$M$3,0)</f>
        <v>0</v>
      </c>
      <c r="E6" s="26">
        <f>IF(PedBerEnt!$M$4&lt;&gt;0,INDEX(tblPoeder,PedBerEnt!$N$4,$A6+1)*PedBerEnt!$M$4,0)</f>
        <v>0</v>
      </c>
      <c r="F6" s="26">
        <f>IF(PedBerEnt!$M$5&lt;&gt;0,INDEX(tblPoeder,PedBerEnt!$N$5,$A6+1)*PedBerEnt!$M$5,0)</f>
        <v>0</v>
      </c>
      <c r="G6" s="26">
        <f t="shared" si="0"/>
        <v>0</v>
      </c>
      <c r="I6" s="266"/>
    </row>
    <row r="7" spans="1:15" x14ac:dyDescent="0.35">
      <c r="A7" s="26">
        <v>6</v>
      </c>
      <c r="B7" s="26" t="s">
        <v>249</v>
      </c>
      <c r="C7" s="26">
        <f>IF(PedBerEnt!$M$2&lt;&gt;0,INDEX(tblPerOs,_Ped_Ent_Keuze_1,A7+1)*PedBerEnt!$M$2,0)</f>
        <v>0</v>
      </c>
      <c r="D7" s="26">
        <f>IF(PedBerEnt!$M$3&lt;&gt;0,INDEX(tblPoeder,PedBerEnt!$N$3,$A7+1)*PedBerEnt!$M$3,0)</f>
        <v>0</v>
      </c>
      <c r="E7" s="26">
        <f>IF(PedBerEnt!$M$4&lt;&gt;0,INDEX(tblPoeder,PedBerEnt!$N$4,$A7+1)*PedBerEnt!$M$4,0)</f>
        <v>0</v>
      </c>
      <c r="F7" s="26">
        <f>IF(PedBerEnt!$M$5&lt;&gt;0,INDEX(tblPoeder,PedBerEnt!$N$5,$A7+1)*PedBerEnt!$M$5,0)</f>
        <v>0</v>
      </c>
      <c r="G7" s="26">
        <f t="shared" si="0"/>
        <v>0</v>
      </c>
      <c r="I7" s="266"/>
    </row>
    <row r="8" spans="1:15" x14ac:dyDescent="0.35">
      <c r="A8" s="26">
        <v>7</v>
      </c>
      <c r="B8" s="26" t="s">
        <v>250</v>
      </c>
      <c r="C8" s="26">
        <f>IF(PedBerEnt!$M$2&lt;&gt;0,INDEX(tblPerOs,_Ped_Ent_Keuze_1,A8+1)*PedBerEnt!$M$2,0)</f>
        <v>0</v>
      </c>
      <c r="D8" s="26">
        <f>IF(PedBerEnt!$M$3&lt;&gt;0,INDEX(tblPoeder,PedBerEnt!$N$3,$A8+1)*PedBerEnt!$M$3,0)</f>
        <v>0</v>
      </c>
      <c r="E8" s="26">
        <f>IF(PedBerEnt!$M$4&lt;&gt;0,INDEX(tblPoeder,PedBerEnt!$N$4,$A8+1)*PedBerEnt!$M$4,0)</f>
        <v>0</v>
      </c>
      <c r="F8" s="26">
        <f>IF(PedBerEnt!$M$5&lt;&gt;0,INDEX(tblPoeder,PedBerEnt!$N$5,$A8+1)*PedBerEnt!$M$5,0)</f>
        <v>0</v>
      </c>
      <c r="G8" s="26">
        <f t="shared" si="0"/>
        <v>0</v>
      </c>
      <c r="I8" s="26"/>
    </row>
    <row r="9" spans="1:15" x14ac:dyDescent="0.35">
      <c r="A9" s="26">
        <v>8</v>
      </c>
      <c r="B9" s="26" t="s">
        <v>257</v>
      </c>
      <c r="C9" s="26">
        <f>IF(PedBerEnt!$M$2&lt;&gt;0,INDEX(tblPerOs,_Ped_Ent_Keuze_1,A9+1)*PedBerEnt!$M$2,0)</f>
        <v>0</v>
      </c>
      <c r="D9" s="26">
        <f>IF(PedBerEnt!$M$3&lt;&gt;0,INDEX(tblPoeder,PedBerEnt!$N$3,$A9+1)*PedBerEnt!$M$3,0)</f>
        <v>0</v>
      </c>
      <c r="E9" s="26">
        <f>IF(PedBerEnt!$M$4&lt;&gt;0,INDEX(tblPoeder,PedBerEnt!$N$4,$A9+1)*PedBerEnt!$M$4,0)</f>
        <v>0</v>
      </c>
      <c r="F9" s="26">
        <f>IF(PedBerEnt!$M$5&lt;&gt;0,INDEX(tblPoeder,PedBerEnt!$N$5,$A9+1)*PedBerEnt!$M$5,0)</f>
        <v>0</v>
      </c>
      <c r="G9" s="26">
        <f t="shared" si="0"/>
        <v>0</v>
      </c>
      <c r="I9" s="26"/>
    </row>
    <row r="10" spans="1:15" x14ac:dyDescent="0.35">
      <c r="A10" s="26">
        <v>9</v>
      </c>
      <c r="B10" s="26" t="s">
        <v>251</v>
      </c>
      <c r="C10" s="26">
        <f>IF(PedBerEnt!$M$2&lt;&gt;0,INDEX(tblPerOs,_Ped_Ent_Keuze_1,A10+1)*PedBerEnt!$M$2,0)</f>
        <v>0</v>
      </c>
      <c r="D10" s="26">
        <f>IF(PedBerEnt!$M$3&lt;&gt;0,INDEX(tblPoeder,PedBerEnt!$N$3,$A10+1)*PedBerEnt!$M$3,0)</f>
        <v>0</v>
      </c>
      <c r="E10" s="26">
        <f>IF(PedBerEnt!$M$4&lt;&gt;0,INDEX(tblPoeder,PedBerEnt!$N$4,$A10+1)*PedBerEnt!$M$4,0)</f>
        <v>0</v>
      </c>
      <c r="F10" s="26">
        <f>IF(PedBerEnt!$M$5&lt;&gt;0,INDEX(tblPoeder,PedBerEnt!$N$5,$A10+1)*PedBerEnt!$M$5,0)</f>
        <v>0</v>
      </c>
      <c r="G10" s="26">
        <f t="shared" si="0"/>
        <v>0</v>
      </c>
      <c r="I10" s="26"/>
    </row>
    <row r="11" spans="1:15" x14ac:dyDescent="0.35">
      <c r="A11" s="266">
        <v>10</v>
      </c>
      <c r="B11" s="266" t="s">
        <v>983</v>
      </c>
      <c r="C11" s="26">
        <f>IF(PedBerEnt!$M$2&lt;&gt;0,INDEX(tblPerOs,_Ped_Ent_Keuze_1,A11+1)*PedBerEnt!$M$2,0)</f>
        <v>0</v>
      </c>
      <c r="D11" s="26">
        <f>IF(PedBerEnt!$M$3&lt;&gt;0,INDEX(tblPoeder,PedBerEnt!$N$3,$A11+1)*PedBerEnt!$M$3,0)</f>
        <v>0</v>
      </c>
      <c r="E11" s="26">
        <f>IF(PedBerEnt!$M$4&lt;&gt;0,INDEX(tblPoeder,PedBerEnt!$N$4,$A11+1)*PedBerEnt!$M$4,0)</f>
        <v>0</v>
      </c>
      <c r="F11" s="26">
        <f>IF(PedBerEnt!$M$5&lt;&gt;0,INDEX(tblPoeder,PedBerEnt!$N$5,$A11+1)*PedBerEnt!$M$5,0)</f>
        <v>0</v>
      </c>
      <c r="G11" s="26">
        <f t="shared" si="0"/>
        <v>0</v>
      </c>
    </row>
    <row r="12" spans="1:15" x14ac:dyDescent="0.35">
      <c r="A12" s="266">
        <v>11</v>
      </c>
      <c r="B12" s="266" t="s">
        <v>984</v>
      </c>
      <c r="C12" s="26">
        <f>IF(PedBerEnt!$M$2&lt;&gt;0,INDEX(tblPerOs,_Ped_Ent_Keuze_1,A12+1)*PedBerEnt!$M$2,0)</f>
        <v>0</v>
      </c>
      <c r="D12" s="26">
        <f>IF(PedBerEnt!$M$3&lt;&gt;0,INDEX(tblPoeder,PedBerEnt!$N$3,$A12+1)*PedBerEnt!$M$3,0)</f>
        <v>0</v>
      </c>
      <c r="E12" s="26">
        <f>IF(PedBerEnt!$M$4&lt;&gt;0,INDEX(tblPoeder,PedBerEnt!$N$4,$A12+1)*PedBerEnt!$M$4,0)</f>
        <v>0</v>
      </c>
      <c r="F12" s="26">
        <f>IF(PedBerEnt!$M$5&lt;&gt;0,INDEX(tblPoeder,PedBerEnt!$N$5,$A12+1)*PedBerEnt!$M$5,0)</f>
        <v>0</v>
      </c>
      <c r="G12" s="26">
        <f t="shared" si="0"/>
        <v>0</v>
      </c>
    </row>
    <row r="13" spans="1:15" x14ac:dyDescent="0.35">
      <c r="A13" s="266">
        <v>12</v>
      </c>
      <c r="B13" s="266" t="s">
        <v>637</v>
      </c>
      <c r="C13" s="26">
        <f>IF(PedBerEnt!$M$2&lt;&gt;0,INDEX(tblPerOs,_Ped_Ent_Keuze_1,A13+1)*PedBerEnt!$M$2,0)</f>
        <v>0</v>
      </c>
      <c r="D13" s="26">
        <f>IF(PedBerEnt!$M$3&lt;&gt;0,INDEX(tblPoeder,PedBerEnt!$N$3,$A13+1)*PedBerEnt!$M$3,0)</f>
        <v>0</v>
      </c>
      <c r="E13" s="26">
        <f>IF(PedBerEnt!$M$4&lt;&gt;0,INDEX(tblPoeder,PedBerEnt!$N$4,$A13+1)*PedBerEnt!$M$4,0)</f>
        <v>0</v>
      </c>
      <c r="F13" s="26">
        <f>IF(PedBerEnt!$M$5&lt;&gt;0,INDEX(tblPoeder,PedBerEnt!$N$5,$A13+1)*PedBerEnt!$M$5,0)</f>
        <v>0</v>
      </c>
      <c r="G13" s="26">
        <f t="shared" si="0"/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9" type="noConversion"/>
  <pageMargins left="0" right="0" top="0" bottom="0" header="0" footer="0"/>
  <pageSetup paperSize="9" orientation="landscape" r:id="rId2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B4" sqref="B4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A1" s="577"/>
      <c r="B1" t="s">
        <v>171</v>
      </c>
      <c r="C1" t="s">
        <v>208</v>
      </c>
      <c r="D1" t="s">
        <v>300</v>
      </c>
      <c r="E1" t="s">
        <v>208</v>
      </c>
    </row>
    <row r="2" spans="1:5" ht="13.2" x14ac:dyDescent="0.4">
      <c r="A2" s="10" t="s">
        <v>361</v>
      </c>
      <c r="B2" s="11">
        <f>SUM(B3:B4)</f>
        <v>0</v>
      </c>
      <c r="C2" s="11">
        <f>10*B2/_Pat_Gewicht</f>
        <v>0</v>
      </c>
      <c r="D2" s="11"/>
      <c r="E2" s="12"/>
    </row>
    <row r="3" spans="1:5" x14ac:dyDescent="0.35">
      <c r="A3" s="5" t="s">
        <v>220</v>
      </c>
      <c r="B3">
        <f>PedBerEnt!M2</f>
        <v>0</v>
      </c>
    </row>
    <row r="4" spans="1:5" x14ac:dyDescent="0.35">
      <c r="A4" s="5" t="s">
        <v>218</v>
      </c>
      <c r="B4">
        <f>(PedBerMedIV!K18+PedBerTPN!F24+PedGuiPMenIV!J15+PedBerMedDisc!P33)</f>
        <v>0</v>
      </c>
    </row>
    <row r="5" spans="1:5" ht="13.2" x14ac:dyDescent="0.4">
      <c r="A5" s="10" t="s">
        <v>207</v>
      </c>
      <c r="B5" s="11">
        <f>SUM(B6:B8)</f>
        <v>0</v>
      </c>
      <c r="C5" s="11">
        <f>B5/(_Pat_Gewicht/10)</f>
        <v>0</v>
      </c>
      <c r="D5" s="11">
        <f>SUM(D7:D7)</f>
        <v>0</v>
      </c>
      <c r="E5" s="12">
        <f>D5/(_Pat_Gewicht/10)</f>
        <v>0</v>
      </c>
    </row>
    <row r="6" spans="1:5" ht="13.2" x14ac:dyDescent="0.4">
      <c r="A6" s="603" t="s">
        <v>220</v>
      </c>
      <c r="B6">
        <f>PedBerEnt!G4</f>
        <v>0</v>
      </c>
      <c r="C6" s="8" t="s">
        <v>225</v>
      </c>
      <c r="D6" s="8" t="s">
        <v>225</v>
      </c>
    </row>
    <row r="7" spans="1:5" x14ac:dyDescent="0.35">
      <c r="A7" s="5" t="s">
        <v>224</v>
      </c>
      <c r="B7">
        <f>PedBerMedDisc!S33+PedBerMedIV!L18+PedBerMedIV!M18</f>
        <v>0</v>
      </c>
      <c r="D7">
        <f>B7*4</f>
        <v>0</v>
      </c>
    </row>
    <row r="8" spans="1:5" ht="13.2" x14ac:dyDescent="0.4">
      <c r="A8" s="5" t="s">
        <v>254</v>
      </c>
      <c r="B8">
        <f>PedBerTPN!G24</f>
        <v>0</v>
      </c>
      <c r="C8" s="8" t="s">
        <v>225</v>
      </c>
      <c r="D8" s="8" t="s">
        <v>225</v>
      </c>
    </row>
    <row r="9" spans="1:5" ht="13.2" x14ac:dyDescent="0.4">
      <c r="A9" s="10" t="s">
        <v>212</v>
      </c>
      <c r="B9" s="11">
        <f>SUM(B10:B12)</f>
        <v>0</v>
      </c>
      <c r="C9" s="11">
        <f>B9/(_Pat_Gewicht/10)</f>
        <v>0</v>
      </c>
      <c r="D9" s="11">
        <f>SUM(D10:D11)</f>
        <v>0</v>
      </c>
      <c r="E9" s="12">
        <f>D9/(_Pat_Gewicht/10)</f>
        <v>0</v>
      </c>
    </row>
    <row r="10" spans="1:5" ht="13.2" x14ac:dyDescent="0.4">
      <c r="A10" s="5" t="s">
        <v>220</v>
      </c>
      <c r="B10">
        <f>PedBerEnt!G3</f>
        <v>0</v>
      </c>
      <c r="C10" s="8" t="s">
        <v>225</v>
      </c>
      <c r="D10" s="8" t="s">
        <v>225</v>
      </c>
    </row>
    <row r="11" spans="1:5" ht="13.2" x14ac:dyDescent="0.4">
      <c r="A11" s="5" t="s">
        <v>218</v>
      </c>
      <c r="B11">
        <f>PedBerTPN!H24</f>
        <v>0</v>
      </c>
      <c r="C11" s="8" t="s">
        <v>225</v>
      </c>
      <c r="D11" s="8" t="s">
        <v>225</v>
      </c>
    </row>
    <row r="12" spans="1:5" ht="13.2" x14ac:dyDescent="0.4">
      <c r="A12" s="5" t="s">
        <v>60</v>
      </c>
      <c r="B12">
        <f>PedBerMedIV!Q18</f>
        <v>0</v>
      </c>
      <c r="C12" s="8"/>
      <c r="D12" s="8"/>
    </row>
    <row r="13" spans="1:5" ht="13.2" x14ac:dyDescent="0.4">
      <c r="A13" s="10" t="s">
        <v>213</v>
      </c>
      <c r="B13" s="11">
        <f>SUM(B14:B16)</f>
        <v>0</v>
      </c>
      <c r="C13" s="11">
        <f>SUM(C14:C16)</f>
        <v>0</v>
      </c>
      <c r="D13" s="11">
        <f>SUM(D14:D15)</f>
        <v>0</v>
      </c>
      <c r="E13" s="12">
        <f>D13/(_Pat_Gewicht/10)</f>
        <v>0</v>
      </c>
    </row>
    <row r="14" spans="1:5" ht="13.2" x14ac:dyDescent="0.4">
      <c r="A14" s="5" t="s">
        <v>220</v>
      </c>
      <c r="B14">
        <f>PedBerEnt!G5</f>
        <v>0</v>
      </c>
      <c r="C14">
        <f>B14/(_Pat_Gewicht/10)</f>
        <v>0</v>
      </c>
      <c r="D14" s="8" t="s">
        <v>225</v>
      </c>
    </row>
    <row r="15" spans="1:5" ht="13.2" x14ac:dyDescent="0.4">
      <c r="A15" s="5" t="s">
        <v>218</v>
      </c>
      <c r="B15">
        <f>PedBerTPN!O24</f>
        <v>0</v>
      </c>
      <c r="C15">
        <f>B15/(_Pat_Gewicht/10)</f>
        <v>0</v>
      </c>
      <c r="D15" s="8" t="s">
        <v>225</v>
      </c>
    </row>
    <row r="16" spans="1:5" x14ac:dyDescent="0.35">
      <c r="A16" s="5" t="s">
        <v>219</v>
      </c>
      <c r="B16">
        <f>PedBerMedIV!R18</f>
        <v>0</v>
      </c>
      <c r="D16">
        <f>B16*9</f>
        <v>0</v>
      </c>
    </row>
    <row r="17" spans="1:5" ht="13.2" x14ac:dyDescent="0.4">
      <c r="A17" s="10" t="s">
        <v>362</v>
      </c>
      <c r="B17" s="11">
        <f>SUM(B18:B22)</f>
        <v>0</v>
      </c>
      <c r="C17" s="11">
        <f>SUM(C18:C22)</f>
        <v>0</v>
      </c>
      <c r="D17" s="11"/>
      <c r="E17" s="12"/>
    </row>
    <row r="18" spans="1:5" x14ac:dyDescent="0.35">
      <c r="A18" s="5" t="s">
        <v>220</v>
      </c>
      <c r="B18">
        <f>PedBerEnt!G6</f>
        <v>0</v>
      </c>
      <c r="C18">
        <f>B18/(_Pat_Gewicht/10)</f>
        <v>0</v>
      </c>
    </row>
    <row r="19" spans="1:5" x14ac:dyDescent="0.35">
      <c r="A19" s="5" t="s">
        <v>263</v>
      </c>
      <c r="B19">
        <f>PedGuiPMenIV!I15</f>
        <v>0</v>
      </c>
      <c r="C19">
        <f>B19/(_Pat_Gewicht/10)</f>
        <v>0</v>
      </c>
    </row>
    <row r="20" spans="1:5" x14ac:dyDescent="0.35">
      <c r="A20" s="5" t="s">
        <v>224</v>
      </c>
      <c r="B20">
        <f>PedBerMedDisc!R33</f>
        <v>0</v>
      </c>
      <c r="C20">
        <f>B20/(_Pat_Gewicht/10)</f>
        <v>0</v>
      </c>
    </row>
    <row r="21" spans="1:5" x14ac:dyDescent="0.35">
      <c r="A21" s="4">
        <v>8.9999999999999993E-3</v>
      </c>
      <c r="B21">
        <f>PedBerMedIV!O18</f>
        <v>0</v>
      </c>
      <c r="C21">
        <f>B21/(_Pat_Gewicht/10)</f>
        <v>0</v>
      </c>
    </row>
    <row r="22" spans="1:5" x14ac:dyDescent="0.35">
      <c r="A22" s="4" t="s">
        <v>254</v>
      </c>
      <c r="B22">
        <f>PedBerTPN!I24</f>
        <v>0</v>
      </c>
      <c r="C22">
        <f>B22/(_Pat_Gewicht/10)</f>
        <v>0</v>
      </c>
    </row>
    <row r="23" spans="1:5" ht="13.2" x14ac:dyDescent="0.4">
      <c r="A23" s="10" t="s">
        <v>363</v>
      </c>
      <c r="B23" s="11">
        <f>SUM(B24:B26)</f>
        <v>0</v>
      </c>
      <c r="C23" s="11">
        <f>SUM(C24:C26)</f>
        <v>0</v>
      </c>
      <c r="D23" s="11"/>
      <c r="E23" s="12"/>
    </row>
    <row r="24" spans="1:5" x14ac:dyDescent="0.35">
      <c r="A24" s="5" t="s">
        <v>220</v>
      </c>
      <c r="B24">
        <f>PedBerEnt!G7</f>
        <v>0</v>
      </c>
      <c r="C24">
        <f>B24/(_Pat_Gewicht/10)</f>
        <v>0</v>
      </c>
    </row>
    <row r="25" spans="1:5" x14ac:dyDescent="0.35">
      <c r="A25" s="5" t="s">
        <v>254</v>
      </c>
      <c r="B25">
        <f>PedBerTPN!J24</f>
        <v>0</v>
      </c>
      <c r="C25">
        <f>B25/(_Pat_Gewicht/10)</f>
        <v>0</v>
      </c>
    </row>
    <row r="26" spans="1:5" x14ac:dyDescent="0.35">
      <c r="A26" s="5" t="s">
        <v>224</v>
      </c>
      <c r="B26">
        <f>PedBerMedIV!P18</f>
        <v>0</v>
      </c>
      <c r="C26">
        <f>B26/(_Pat_Gewicht/10)</f>
        <v>0</v>
      </c>
    </row>
    <row r="27" spans="1:5" ht="13.2" x14ac:dyDescent="0.4">
      <c r="A27" s="10" t="s">
        <v>209</v>
      </c>
      <c r="B27" s="11">
        <f>SUM(B28:B29)</f>
        <v>0</v>
      </c>
      <c r="C27" s="11">
        <f>SUM(C28:C29)</f>
        <v>0</v>
      </c>
      <c r="D27" s="11"/>
      <c r="E27" s="12"/>
    </row>
    <row r="28" spans="1:5" x14ac:dyDescent="0.35">
      <c r="A28" s="5" t="s">
        <v>220</v>
      </c>
      <c r="B28">
        <f>PedBerEnt!G8</f>
        <v>0</v>
      </c>
      <c r="C28">
        <f>B28/(_Pat_Gewicht/10)</f>
        <v>0</v>
      </c>
    </row>
    <row r="29" spans="1:5" x14ac:dyDescent="0.35">
      <c r="A29" s="5" t="s">
        <v>254</v>
      </c>
      <c r="B29">
        <f>PedBerTPN!K24</f>
        <v>0</v>
      </c>
      <c r="C29">
        <f>B29/(_Pat_Gewicht/10)</f>
        <v>0</v>
      </c>
    </row>
    <row r="30" spans="1:5" ht="13.2" x14ac:dyDescent="0.4">
      <c r="A30" s="10" t="s">
        <v>210</v>
      </c>
      <c r="B30" s="11">
        <f>SUM(B31:B32)</f>
        <v>0</v>
      </c>
      <c r="C30" s="11">
        <f>SUM(C31:C32)</f>
        <v>0</v>
      </c>
      <c r="D30" s="11"/>
      <c r="E30" s="12"/>
    </row>
    <row r="31" spans="1:5" x14ac:dyDescent="0.35">
      <c r="A31" s="5" t="s">
        <v>220</v>
      </c>
      <c r="B31">
        <f>PedBerEnt!G9</f>
        <v>0</v>
      </c>
      <c r="C31">
        <f>B31/(_Pat_Gewicht/10)</f>
        <v>0</v>
      </c>
    </row>
    <row r="32" spans="1:5" x14ac:dyDescent="0.35">
      <c r="A32" s="5" t="s">
        <v>254</v>
      </c>
      <c r="B32">
        <f>PedBerTPN!M24</f>
        <v>0</v>
      </c>
      <c r="C32">
        <f>B32/(_Pat_Gewicht/10)</f>
        <v>0</v>
      </c>
    </row>
    <row r="33" spans="1:5" ht="13.2" x14ac:dyDescent="0.4">
      <c r="A33" s="10" t="s">
        <v>211</v>
      </c>
      <c r="B33" s="11">
        <f>SUM(B34:B35)</f>
        <v>0</v>
      </c>
      <c r="C33" s="11">
        <f>SUM(C34:C35)</f>
        <v>0</v>
      </c>
      <c r="D33" s="11"/>
      <c r="E33" s="12"/>
    </row>
    <row r="34" spans="1:5" x14ac:dyDescent="0.35">
      <c r="A34" s="5" t="s">
        <v>220</v>
      </c>
      <c r="B34">
        <f>PedBerEnt!G10</f>
        <v>0</v>
      </c>
      <c r="C34">
        <f>B34/(_Pat_Gewicht/10)</f>
        <v>0</v>
      </c>
    </row>
    <row r="35" spans="1:5" x14ac:dyDescent="0.35">
      <c r="A35" s="5" t="s">
        <v>218</v>
      </c>
      <c r="B35">
        <f>PedBerTPN!L24</f>
        <v>0</v>
      </c>
      <c r="C35">
        <f>B35/(_Pat_Gewicht/10)</f>
        <v>0</v>
      </c>
    </row>
    <row r="36" spans="1:5" ht="13.2" x14ac:dyDescent="0.4">
      <c r="A36" s="10" t="s">
        <v>1078</v>
      </c>
      <c r="B36" s="11">
        <f>SUM(B37)</f>
        <v>0</v>
      </c>
      <c r="C36" s="11">
        <f>SUM(C37)</f>
        <v>0</v>
      </c>
      <c r="D36" s="11"/>
      <c r="E36" s="12"/>
    </row>
    <row r="37" spans="1:5" x14ac:dyDescent="0.35">
      <c r="A37" s="5" t="s">
        <v>220</v>
      </c>
      <c r="B37" s="517">
        <f>PedBerEnt!G11</f>
        <v>0</v>
      </c>
      <c r="C37" s="517">
        <f>B37/(_Pat_Gewicht/10)</f>
        <v>0</v>
      </c>
      <c r="D37" s="517"/>
      <c r="E37" s="517"/>
    </row>
    <row r="38" spans="1:5" ht="13.2" x14ac:dyDescent="0.4">
      <c r="A38" s="10" t="s">
        <v>1077</v>
      </c>
      <c r="B38" s="11">
        <f>SUM(B39)</f>
        <v>0</v>
      </c>
      <c r="C38" s="11">
        <f>SUM(C39)</f>
        <v>0</v>
      </c>
      <c r="D38" s="11"/>
      <c r="E38" s="12"/>
    </row>
    <row r="39" spans="1:5" x14ac:dyDescent="0.35">
      <c r="A39" s="5" t="s">
        <v>220</v>
      </c>
      <c r="B39" s="517">
        <f>PedBerEnt!G12</f>
        <v>0</v>
      </c>
      <c r="C39" s="517">
        <f>B39/(_Pat_Gewicht/10)</f>
        <v>0</v>
      </c>
      <c r="D39" s="517"/>
      <c r="E39" s="517"/>
    </row>
    <row r="40" spans="1:5" ht="13.2" x14ac:dyDescent="0.4">
      <c r="A40" s="10" t="s">
        <v>1076</v>
      </c>
      <c r="B40" s="11">
        <f>SUM(B41)</f>
        <v>0</v>
      </c>
      <c r="C40" s="11">
        <f>SUM(C41)</f>
        <v>0</v>
      </c>
      <c r="D40" s="11"/>
      <c r="E40" s="12"/>
    </row>
    <row r="41" spans="1:5" x14ac:dyDescent="0.35">
      <c r="A41" s="5" t="s">
        <v>220</v>
      </c>
      <c r="B41" s="517">
        <f>PedBerEnt!G13</f>
        <v>0</v>
      </c>
      <c r="C41" s="517">
        <f>B41/(_Pat_Gewicht/10)</f>
        <v>0</v>
      </c>
      <c r="D41" s="517"/>
      <c r="E41" s="517"/>
    </row>
    <row r="42" spans="1:5" ht="13.2" x14ac:dyDescent="0.4">
      <c r="A42" s="13" t="s">
        <v>254</v>
      </c>
      <c r="B42" s="11"/>
      <c r="C42" s="11"/>
      <c r="D42" s="11">
        <f>PedBerTPN!N24+PedBerEnt!G2</f>
        <v>0</v>
      </c>
      <c r="E42" s="12">
        <f>D42/(_Pat_Gewicht/10)</f>
        <v>0</v>
      </c>
    </row>
    <row r="44" spans="1:5" x14ac:dyDescent="0.35">
      <c r="A44" s="5" t="s">
        <v>240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Voed">
    <tabColor rgb="FFFFC000"/>
  </sheetPr>
  <dimension ref="A1:Q54"/>
  <sheetViews>
    <sheetView zoomScale="85" zoomScaleNormal="85" workbookViewId="0"/>
  </sheetViews>
  <sheetFormatPr defaultColWidth="9.1328125" defaultRowHeight="12.85" x14ac:dyDescent="0.35"/>
  <cols>
    <col min="1" max="1" width="10.86328125" style="518" bestFit="1" customWidth="1"/>
    <col min="2" max="2" width="32.265625" style="518" bestFit="1" customWidth="1"/>
    <col min="3" max="3" width="37" style="518" bestFit="1" customWidth="1"/>
    <col min="4" max="4" width="17.73046875" style="518" bestFit="1" customWidth="1"/>
    <col min="5" max="7" width="6.1328125" style="518" bestFit="1" customWidth="1"/>
    <col min="8" max="9" width="12.1328125" style="518" bestFit="1" customWidth="1"/>
    <col min="10" max="10" width="9.1328125" style="518" bestFit="1" customWidth="1"/>
    <col min="11" max="12" width="12.1328125" style="518" bestFit="1" customWidth="1"/>
    <col min="13" max="13" width="11.1328125" style="518" bestFit="1" customWidth="1"/>
    <col min="14" max="14" width="8.59765625" style="518" customWidth="1"/>
    <col min="15" max="15" width="12" style="518" bestFit="1" customWidth="1"/>
    <col min="16" max="16" width="9.1328125" style="518"/>
    <col min="17" max="17" width="22.1328125" style="518" bestFit="1" customWidth="1"/>
    <col min="18" max="16384" width="9.1328125" style="518"/>
  </cols>
  <sheetData>
    <row r="1" spans="1:17" ht="13.2" x14ac:dyDescent="0.4">
      <c r="A1" s="583"/>
      <c r="D1" s="518" t="s">
        <v>527</v>
      </c>
      <c r="E1" s="518" t="s">
        <v>31</v>
      </c>
      <c r="F1" s="518" t="s">
        <v>31</v>
      </c>
      <c r="G1" s="518" t="s">
        <v>31</v>
      </c>
      <c r="H1" s="518" t="s">
        <v>176</v>
      </c>
      <c r="I1" s="518" t="s">
        <v>176</v>
      </c>
      <c r="J1" s="518" t="s">
        <v>176</v>
      </c>
      <c r="K1" s="518" t="s">
        <v>176</v>
      </c>
      <c r="L1" s="518" t="s">
        <v>176</v>
      </c>
      <c r="M1" s="518" t="s">
        <v>176</v>
      </c>
      <c r="N1" s="518" t="s">
        <v>501</v>
      </c>
      <c r="O1" s="518" t="s">
        <v>176</v>
      </c>
      <c r="Q1" s="3" t="s">
        <v>227</v>
      </c>
    </row>
    <row r="2" spans="1:17" x14ac:dyDescent="0.35">
      <c r="D2" s="518" t="s">
        <v>255</v>
      </c>
      <c r="E2" s="518" t="s">
        <v>212</v>
      </c>
      <c r="F2" s="518" t="s">
        <v>256</v>
      </c>
      <c r="G2" s="518" t="s">
        <v>213</v>
      </c>
      <c r="H2" s="518" t="s">
        <v>248</v>
      </c>
      <c r="I2" s="518" t="s">
        <v>249</v>
      </c>
      <c r="J2" s="518" t="s">
        <v>250</v>
      </c>
      <c r="K2" s="518" t="s">
        <v>257</v>
      </c>
      <c r="L2" s="518" t="s">
        <v>251</v>
      </c>
      <c r="M2" s="518" t="s">
        <v>983</v>
      </c>
      <c r="N2" s="518" t="s">
        <v>984</v>
      </c>
      <c r="O2" s="518" t="s">
        <v>637</v>
      </c>
      <c r="Q2" s="266" t="s">
        <v>543</v>
      </c>
    </row>
    <row r="3" spans="1:17" x14ac:dyDescent="0.35">
      <c r="Q3" s="266" t="s">
        <v>544</v>
      </c>
    </row>
    <row r="4" spans="1:17" x14ac:dyDescent="0.35">
      <c r="A4" s="518" t="s">
        <v>986</v>
      </c>
      <c r="B4" s="518" t="s">
        <v>179</v>
      </c>
      <c r="C4" s="518" t="s">
        <v>1094</v>
      </c>
      <c r="D4" s="518">
        <f t="shared" ref="D4:D26" si="0">VLOOKUP(B4,tblVoedingBasislijst,2,FALSE)/100</f>
        <v>0.68</v>
      </c>
      <c r="E4" s="518">
        <f t="shared" ref="E4:E26" si="1">VLOOKUP(B4,tblVoedingBasislijst,3,FALSE)/100</f>
        <v>0.01</v>
      </c>
      <c r="F4" s="518">
        <f t="shared" ref="F4:F26" si="2">VLOOKUP(B4,tblVoedingBasislijst,4,FALSE)/100</f>
        <v>7.0000000000000007E-2</v>
      </c>
      <c r="G4" s="518">
        <f t="shared" ref="G4:G26" si="3">VLOOKUP(B4,tblVoedingBasislijst,5,FALSE)/100</f>
        <v>0.04</v>
      </c>
      <c r="H4" s="518">
        <f t="shared" ref="H4:H26" si="4">VLOOKUP(B4,tblVoedingBasislijst,6,FALSE)*tblOmrekenNA/100</f>
        <v>8.6956000000000012E-3</v>
      </c>
      <c r="I4" s="518">
        <f t="shared" ref="I4:I26" si="5">VLOOKUP(B4,tblVoedingBasislijst,7,FALSE)*tblOmrekenK/100</f>
        <v>1.2820500000000002E-2</v>
      </c>
      <c r="J4" s="518">
        <f t="shared" ref="J4:J26" si="6">VLOOKUP(B4,tblVoedingBasislijst,8,FALSE)*tblOmrekenCa/100</f>
        <v>7.4700000000000001E-3</v>
      </c>
      <c r="K4" s="518">
        <f t="shared" ref="K4:K26" si="7">VLOOKUP(B4,tblVoedingBasislijst,9,FALSE)*tblOmrekenP/100</f>
        <v>4.8433499999999997E-3</v>
      </c>
      <c r="L4" s="518">
        <f t="shared" ref="L4:L26" si="8">VLOOKUP(B4,tblVoedingBasislijst,10,FALSE)*tblOmrekenMg/100</f>
        <v>1.23423E-3</v>
      </c>
      <c r="M4" s="518">
        <f t="shared" ref="M4:M26" si="9">VLOOKUP(B4,tblVoedingBasislijst,11,FALSE)*tblOmrekenFe/100</f>
        <v>1.7899999999999998E-5</v>
      </c>
      <c r="N4" s="518">
        <f t="shared" ref="N4:N26" si="10">VLOOKUP(B4,tblVoedingBasislijst,12,FALSE)*tblOmrekenVitD/100</f>
        <v>0</v>
      </c>
      <c r="O4" s="518">
        <f t="shared" ref="O4:O26" si="11">VLOOKUP(B4,tblVoedingBasislijst,13,FALSE)*tblOmrekenCl/100</f>
        <v>1.212858E-2</v>
      </c>
      <c r="Q4" s="266" t="s">
        <v>545</v>
      </c>
    </row>
    <row r="5" spans="1:17" x14ac:dyDescent="0.35">
      <c r="A5" s="518" t="s">
        <v>987</v>
      </c>
      <c r="B5" s="518" t="s">
        <v>988</v>
      </c>
      <c r="C5" s="518" t="s">
        <v>1095</v>
      </c>
      <c r="D5" s="518">
        <f t="shared" si="0"/>
        <v>0.8</v>
      </c>
      <c r="E5" s="518">
        <f t="shared" si="1"/>
        <v>2.6000000000000002E-2</v>
      </c>
      <c r="F5" s="518">
        <f t="shared" si="2"/>
        <v>8.4000000000000005E-2</v>
      </c>
      <c r="G5" s="518">
        <f t="shared" si="3"/>
        <v>3.9E-2</v>
      </c>
      <c r="H5" s="518">
        <f t="shared" si="4"/>
        <v>3.0434599999999999E-2</v>
      </c>
      <c r="I5" s="518">
        <f t="shared" si="5"/>
        <v>2.0512800000000001E-2</v>
      </c>
      <c r="J5" s="518">
        <f t="shared" si="6"/>
        <v>2.4899999999999999E-2</v>
      </c>
      <c r="K5" s="518">
        <f t="shared" si="7"/>
        <v>1.8081839999999998E-2</v>
      </c>
      <c r="L5" s="518">
        <f t="shared" si="8"/>
        <v>3.2912799999999997E-3</v>
      </c>
      <c r="M5" s="518">
        <f t="shared" si="9"/>
        <v>2.8639999999999997E-4</v>
      </c>
      <c r="N5" s="518">
        <f t="shared" si="10"/>
        <v>1.2</v>
      </c>
      <c r="O5" s="518">
        <f t="shared" si="11"/>
        <v>2.3975099999999999E-2</v>
      </c>
      <c r="Q5" s="266" t="s">
        <v>546</v>
      </c>
    </row>
    <row r="6" spans="1:17" x14ac:dyDescent="0.35">
      <c r="A6" s="518" t="s">
        <v>987</v>
      </c>
      <c r="B6" s="641" t="s">
        <v>989</v>
      </c>
      <c r="C6" s="518" t="s">
        <v>1096</v>
      </c>
      <c r="D6" s="518">
        <f t="shared" si="0"/>
        <v>0.75</v>
      </c>
      <c r="E6" s="518">
        <f t="shared" si="1"/>
        <v>0.02</v>
      </c>
      <c r="F6" s="518">
        <f t="shared" si="2"/>
        <v>7.4999999999999997E-2</v>
      </c>
      <c r="G6" s="518">
        <f t="shared" si="3"/>
        <v>0.04</v>
      </c>
      <c r="H6" s="518">
        <f t="shared" si="4"/>
        <v>1.217384E-2</v>
      </c>
      <c r="I6" s="518">
        <f t="shared" si="5"/>
        <v>1.9743570000000002E-2</v>
      </c>
      <c r="J6" s="518">
        <f t="shared" si="6"/>
        <v>2.1662999999999998E-2</v>
      </c>
      <c r="K6" s="518">
        <f t="shared" si="7"/>
        <v>1.517583E-2</v>
      </c>
      <c r="L6" s="518">
        <f t="shared" si="8"/>
        <v>2.8798700000000001E-3</v>
      </c>
      <c r="M6" s="518">
        <f t="shared" si="9"/>
        <v>2.1479999999999999E-4</v>
      </c>
      <c r="N6" s="518">
        <f t="shared" si="10"/>
        <v>0.68</v>
      </c>
      <c r="O6" s="518">
        <f t="shared" si="11"/>
        <v>1.5513299999999999E-2</v>
      </c>
      <c r="Q6" s="266" t="s">
        <v>1171</v>
      </c>
    </row>
    <row r="7" spans="1:17" x14ac:dyDescent="0.35">
      <c r="A7" s="518" t="s">
        <v>692</v>
      </c>
      <c r="B7" s="613" t="s">
        <v>990</v>
      </c>
      <c r="C7" s="518" t="s">
        <v>1097</v>
      </c>
      <c r="D7" s="518">
        <f t="shared" si="0"/>
        <v>0.66</v>
      </c>
      <c r="E7" s="518">
        <f t="shared" si="1"/>
        <v>1.4999999999999999E-2</v>
      </c>
      <c r="F7" s="518">
        <f t="shared" si="2"/>
        <v>7.2000000000000008E-2</v>
      </c>
      <c r="G7" s="518">
        <f t="shared" si="3"/>
        <v>3.4000000000000002E-2</v>
      </c>
      <c r="H7" s="518">
        <f t="shared" si="4"/>
        <v>1.0869500000000001E-2</v>
      </c>
      <c r="I7" s="518">
        <f t="shared" si="5"/>
        <v>1.8717930000000001E-2</v>
      </c>
      <c r="J7" s="518">
        <f t="shared" si="6"/>
        <v>1.1453999999999999E-2</v>
      </c>
      <c r="K7" s="518">
        <f t="shared" si="7"/>
        <v>8.3951400000000006E-3</v>
      </c>
      <c r="L7" s="518">
        <f t="shared" si="8"/>
        <v>2.0981909999999997E-3</v>
      </c>
      <c r="M7" s="518">
        <f t="shared" si="9"/>
        <v>9.4870000000000005E-5</v>
      </c>
      <c r="N7" s="518">
        <f t="shared" si="10"/>
        <v>0.48</v>
      </c>
      <c r="O7" s="518">
        <f t="shared" si="11"/>
        <v>1.1564459999999999E-2</v>
      </c>
    </row>
    <row r="8" spans="1:17" x14ac:dyDescent="0.35">
      <c r="A8" s="518" t="s">
        <v>526</v>
      </c>
      <c r="B8" s="518" t="s">
        <v>642</v>
      </c>
      <c r="C8" s="518" t="s">
        <v>1098</v>
      </c>
      <c r="D8" s="518">
        <f t="shared" si="0"/>
        <v>0.66</v>
      </c>
      <c r="E8" s="518">
        <f t="shared" si="1"/>
        <v>1.3000000000000001E-2</v>
      </c>
      <c r="F8" s="518">
        <f t="shared" si="2"/>
        <v>7.2999999999999995E-2</v>
      </c>
      <c r="G8" s="518">
        <f t="shared" si="3"/>
        <v>3.4000000000000002E-2</v>
      </c>
      <c r="H8" s="518">
        <f t="shared" si="4"/>
        <v>7.3912600000000002E-3</v>
      </c>
      <c r="I8" s="518">
        <f t="shared" si="5"/>
        <v>1.7435880000000001E-2</v>
      </c>
      <c r="J8" s="518">
        <f t="shared" si="6"/>
        <v>1.4193000000000001E-2</v>
      </c>
      <c r="K8" s="518">
        <f t="shared" si="7"/>
        <v>1.033248E-2</v>
      </c>
      <c r="L8" s="518">
        <f t="shared" si="8"/>
        <v>2.0981909999999997E-3</v>
      </c>
      <c r="M8" s="518">
        <f t="shared" si="9"/>
        <v>6.981E-4</v>
      </c>
      <c r="N8" s="518">
        <f t="shared" si="10"/>
        <v>3.48</v>
      </c>
      <c r="O8" s="518">
        <f t="shared" si="11"/>
        <v>1.1846520000000001E-2</v>
      </c>
    </row>
    <row r="9" spans="1:17" x14ac:dyDescent="0.35">
      <c r="A9" s="583" t="s">
        <v>526</v>
      </c>
      <c r="B9" s="518" t="s">
        <v>1053</v>
      </c>
      <c r="C9" s="518" t="s">
        <v>1099</v>
      </c>
      <c r="D9" s="518">
        <f t="shared" si="0"/>
        <v>0.68</v>
      </c>
      <c r="E9" s="518">
        <f t="shared" si="1"/>
        <v>1.3999999999999999E-2</v>
      </c>
      <c r="F9" s="518">
        <f t="shared" si="2"/>
        <v>8.5999999999999993E-2</v>
      </c>
      <c r="G9" s="518">
        <f t="shared" si="3"/>
        <v>0.03</v>
      </c>
      <c r="H9" s="518">
        <f t="shared" si="4"/>
        <v>9.9999400000000006E-3</v>
      </c>
      <c r="I9" s="518">
        <f t="shared" si="5"/>
        <v>1.8974339999999999E-2</v>
      </c>
      <c r="J9" s="518">
        <f t="shared" si="6"/>
        <v>1.6184999999999998E-2</v>
      </c>
      <c r="K9" s="518">
        <f t="shared" si="7"/>
        <v>1.162404E-2</v>
      </c>
      <c r="L9" s="518">
        <f t="shared" si="8"/>
        <v>1.974768E-3</v>
      </c>
      <c r="M9" s="518">
        <f t="shared" si="9"/>
        <v>1.253E-3</v>
      </c>
      <c r="N9" s="518">
        <f t="shared" si="10"/>
        <v>0.56000000000000005</v>
      </c>
      <c r="O9" s="518">
        <f t="shared" si="11"/>
        <v>1.3256820000000001E-2</v>
      </c>
    </row>
    <row r="10" spans="1:17" x14ac:dyDescent="0.35">
      <c r="A10" s="518" t="s">
        <v>986</v>
      </c>
      <c r="B10" s="518" t="s">
        <v>17</v>
      </c>
      <c r="C10" s="518" t="s">
        <v>1100</v>
      </c>
      <c r="D10" s="518">
        <f t="shared" si="0"/>
        <v>1</v>
      </c>
      <c r="E10" s="518">
        <f t="shared" si="1"/>
        <v>2.6000000000000002E-2</v>
      </c>
      <c r="F10" s="518">
        <f t="shared" si="2"/>
        <v>0.10300000000000001</v>
      </c>
      <c r="G10" s="518">
        <f t="shared" si="3"/>
        <v>5.4000000000000006E-2</v>
      </c>
      <c r="H10" s="518">
        <f t="shared" si="4"/>
        <v>1.6086860000000001E-2</v>
      </c>
      <c r="I10" s="518">
        <f t="shared" si="5"/>
        <v>2.4358950000000001E-2</v>
      </c>
      <c r="J10" s="518">
        <f t="shared" si="6"/>
        <v>2.4899999999999999E-2</v>
      </c>
      <c r="K10" s="518">
        <f t="shared" si="7"/>
        <v>1.6144499999999999E-2</v>
      </c>
      <c r="L10" s="518">
        <f t="shared" si="8"/>
        <v>3.7026899999999998E-3</v>
      </c>
      <c r="M10" s="518">
        <f t="shared" si="9"/>
        <v>2.1479999999999999E-4</v>
      </c>
      <c r="N10" s="518">
        <f t="shared" si="10"/>
        <v>0.76</v>
      </c>
      <c r="O10" s="518">
        <f t="shared" si="11"/>
        <v>1.7487719999999998E-2</v>
      </c>
    </row>
    <row r="11" spans="1:17" x14ac:dyDescent="0.35">
      <c r="A11" s="518" t="s">
        <v>986</v>
      </c>
      <c r="B11" s="518" t="s">
        <v>1079</v>
      </c>
      <c r="C11" s="518" t="s">
        <v>1101</v>
      </c>
      <c r="D11" s="518">
        <f t="shared" si="0"/>
        <v>1</v>
      </c>
      <c r="E11" s="518">
        <f t="shared" si="1"/>
        <v>2.6000000000000002E-2</v>
      </c>
      <c r="F11" s="518">
        <f t="shared" si="2"/>
        <v>0.10300000000000001</v>
      </c>
      <c r="G11" s="518">
        <f t="shared" si="3"/>
        <v>5.4000000000000006E-2</v>
      </c>
      <c r="H11" s="518">
        <f t="shared" si="4"/>
        <v>1.391296E-2</v>
      </c>
      <c r="I11" s="518">
        <f t="shared" si="5"/>
        <v>2.769228E-2</v>
      </c>
      <c r="J11" s="518">
        <f t="shared" si="6"/>
        <v>1.992E-2</v>
      </c>
      <c r="K11" s="518">
        <f t="shared" si="7"/>
        <v>1.2915600000000001E-2</v>
      </c>
      <c r="L11" s="518">
        <f t="shared" si="8"/>
        <v>3.2912799999999997E-3</v>
      </c>
      <c r="M11" s="518">
        <f t="shared" si="9"/>
        <v>1.7899999999999999E-4</v>
      </c>
      <c r="N11" s="518">
        <f t="shared" si="10"/>
        <v>0.68</v>
      </c>
      <c r="O11" s="518">
        <f t="shared" si="11"/>
        <v>1.805184E-2</v>
      </c>
    </row>
    <row r="12" spans="1:17" x14ac:dyDescent="0.35">
      <c r="A12" s="518" t="s">
        <v>986</v>
      </c>
      <c r="B12" s="518" t="s">
        <v>1070</v>
      </c>
      <c r="C12" s="518" t="s">
        <v>1102</v>
      </c>
      <c r="D12" s="518">
        <f t="shared" si="0"/>
        <v>0.67</v>
      </c>
      <c r="E12" s="518">
        <f t="shared" si="1"/>
        <v>1.6E-2</v>
      </c>
      <c r="F12" s="518">
        <f t="shared" si="2"/>
        <v>7.0000000000000007E-2</v>
      </c>
      <c r="G12" s="518">
        <f t="shared" si="3"/>
        <v>3.5000000000000003E-2</v>
      </c>
      <c r="H12" s="518">
        <f t="shared" si="4"/>
        <v>8.6956000000000012E-3</v>
      </c>
      <c r="I12" s="518">
        <f t="shared" si="5"/>
        <v>2.076921E-2</v>
      </c>
      <c r="J12" s="518">
        <f t="shared" si="6"/>
        <v>1.1702999999999998E-2</v>
      </c>
      <c r="K12" s="518">
        <f t="shared" si="7"/>
        <v>8.3951400000000006E-3</v>
      </c>
      <c r="L12" s="518">
        <f t="shared" si="8"/>
        <v>2.1804729999999996E-3</v>
      </c>
      <c r="M12" s="518">
        <f t="shared" si="9"/>
        <v>9.4870000000000005E-5</v>
      </c>
      <c r="N12" s="518">
        <f t="shared" si="10"/>
        <v>0.52</v>
      </c>
      <c r="O12" s="518">
        <f t="shared" si="11"/>
        <v>1.12824E-2</v>
      </c>
    </row>
    <row r="13" spans="1:17" x14ac:dyDescent="0.35">
      <c r="A13" s="518" t="s">
        <v>529</v>
      </c>
      <c r="B13" s="518" t="s">
        <v>530</v>
      </c>
      <c r="C13" s="518" t="s">
        <v>1103</v>
      </c>
      <c r="D13" s="518">
        <f t="shared" si="0"/>
        <v>1.01</v>
      </c>
      <c r="E13" s="518">
        <f t="shared" si="1"/>
        <v>2.7000000000000003E-2</v>
      </c>
      <c r="F13" s="518">
        <f t="shared" si="2"/>
        <v>0.12300000000000001</v>
      </c>
      <c r="G13" s="518">
        <f t="shared" si="3"/>
        <v>4.4000000000000004E-2</v>
      </c>
      <c r="H13" s="518">
        <f t="shared" si="4"/>
        <v>2.60868E-2</v>
      </c>
      <c r="I13" s="518">
        <f t="shared" si="5"/>
        <v>2.82051E-2</v>
      </c>
      <c r="J13" s="518">
        <f t="shared" si="6"/>
        <v>1.494E-2</v>
      </c>
      <c r="K13" s="518">
        <f t="shared" si="7"/>
        <v>1.6144499999999999E-2</v>
      </c>
      <c r="L13" s="518">
        <f t="shared" si="8"/>
        <v>4.5255099999999999E-3</v>
      </c>
      <c r="M13" s="518">
        <f t="shared" si="9"/>
        <v>1.7899999999999999E-4</v>
      </c>
      <c r="N13" s="518">
        <f t="shared" si="10"/>
        <v>0.4</v>
      </c>
      <c r="O13" s="518">
        <f t="shared" si="11"/>
        <v>2.6795699999999999E-2</v>
      </c>
    </row>
    <row r="14" spans="1:17" x14ac:dyDescent="0.35">
      <c r="A14" s="518" t="s">
        <v>529</v>
      </c>
      <c r="B14" s="518" t="s">
        <v>531</v>
      </c>
      <c r="C14" s="518" t="s">
        <v>1104</v>
      </c>
      <c r="D14" s="518">
        <f t="shared" si="0"/>
        <v>1.51</v>
      </c>
      <c r="E14" s="518">
        <f t="shared" si="1"/>
        <v>0.04</v>
      </c>
      <c r="F14" s="518">
        <f t="shared" si="2"/>
        <v>0.185</v>
      </c>
      <c r="G14" s="518">
        <f t="shared" si="3"/>
        <v>6.7000000000000004E-2</v>
      </c>
      <c r="H14" s="518">
        <f t="shared" si="4"/>
        <v>3.9130200000000004E-2</v>
      </c>
      <c r="I14" s="518">
        <f t="shared" si="5"/>
        <v>4.2307650000000002E-2</v>
      </c>
      <c r="J14" s="518">
        <f t="shared" si="6"/>
        <v>2.2409999999999996E-2</v>
      </c>
      <c r="K14" s="518">
        <f t="shared" si="7"/>
        <v>2.4216749999999999E-2</v>
      </c>
      <c r="L14" s="518">
        <f t="shared" si="8"/>
        <v>6.9939699999999995E-3</v>
      </c>
      <c r="M14" s="518">
        <f t="shared" si="9"/>
        <v>2.6849999999999997E-4</v>
      </c>
      <c r="N14" s="518">
        <f t="shared" si="10"/>
        <v>0.6</v>
      </c>
      <c r="O14" s="518">
        <f t="shared" si="11"/>
        <v>4.0334579999999995E-2</v>
      </c>
    </row>
    <row r="15" spans="1:17" x14ac:dyDescent="0.35">
      <c r="A15" s="518" t="s">
        <v>529</v>
      </c>
      <c r="B15" s="518" t="s">
        <v>1080</v>
      </c>
      <c r="C15" s="518" t="s">
        <v>1105</v>
      </c>
      <c r="D15" s="518">
        <f t="shared" si="0"/>
        <v>1</v>
      </c>
      <c r="E15" s="518">
        <f t="shared" si="1"/>
        <v>2.7999999999999997E-2</v>
      </c>
      <c r="F15" s="518">
        <f t="shared" si="2"/>
        <v>0.13699999999999998</v>
      </c>
      <c r="G15" s="518">
        <f t="shared" si="3"/>
        <v>3.9E-2</v>
      </c>
      <c r="H15" s="518">
        <f t="shared" si="4"/>
        <v>2.60868E-2</v>
      </c>
      <c r="I15" s="518">
        <f t="shared" si="5"/>
        <v>2.82051E-2</v>
      </c>
      <c r="J15" s="518">
        <f t="shared" si="6"/>
        <v>1.494E-2</v>
      </c>
      <c r="K15" s="518">
        <f t="shared" si="7"/>
        <v>1.6144499999999999E-2</v>
      </c>
      <c r="L15" s="518">
        <f t="shared" si="8"/>
        <v>4.5255099999999999E-3</v>
      </c>
      <c r="M15" s="518">
        <f t="shared" si="9"/>
        <v>1.7899999999999999E-4</v>
      </c>
      <c r="N15" s="518">
        <f t="shared" si="10"/>
        <v>0.4</v>
      </c>
      <c r="O15" s="518">
        <f t="shared" si="11"/>
        <v>2.6795699999999999E-2</v>
      </c>
    </row>
    <row r="16" spans="1:17" x14ac:dyDescent="0.35">
      <c r="A16" s="518" t="s">
        <v>529</v>
      </c>
      <c r="B16" s="518" t="s">
        <v>1117</v>
      </c>
      <c r="C16" s="518" t="s">
        <v>1106</v>
      </c>
      <c r="D16" s="518">
        <f t="shared" si="0"/>
        <v>0.68</v>
      </c>
      <c r="E16" s="518">
        <f t="shared" si="1"/>
        <v>1.6E-2</v>
      </c>
      <c r="F16" s="518">
        <f t="shared" si="2"/>
        <v>8.1000000000000003E-2</v>
      </c>
      <c r="G16" s="518">
        <f t="shared" si="3"/>
        <v>3.1E-2</v>
      </c>
      <c r="H16" s="518">
        <f t="shared" si="4"/>
        <v>1.0869500000000001E-2</v>
      </c>
      <c r="I16" s="518">
        <f t="shared" si="5"/>
        <v>1.9999980000000001E-2</v>
      </c>
      <c r="J16" s="518">
        <f t="shared" si="6"/>
        <v>1.5687E-2</v>
      </c>
      <c r="K16" s="518">
        <f t="shared" si="7"/>
        <v>1.194693E-2</v>
      </c>
      <c r="L16" s="518">
        <f t="shared" si="8"/>
        <v>2.262755E-3</v>
      </c>
      <c r="M16" s="518">
        <f t="shared" si="9"/>
        <v>1.7899999999999999E-4</v>
      </c>
      <c r="N16" s="518">
        <f t="shared" si="10"/>
        <v>0.56000000000000005</v>
      </c>
      <c r="O16" s="518">
        <f t="shared" si="11"/>
        <v>1.1846520000000001E-2</v>
      </c>
    </row>
    <row r="17" spans="1:15" x14ac:dyDescent="0.35">
      <c r="A17" s="518" t="s">
        <v>532</v>
      </c>
      <c r="B17" s="518" t="s">
        <v>533</v>
      </c>
      <c r="C17" s="518" t="s">
        <v>1107</v>
      </c>
      <c r="D17" s="518">
        <f t="shared" si="0"/>
        <v>1.02</v>
      </c>
      <c r="E17" s="518">
        <f t="shared" si="1"/>
        <v>3.3000000000000002E-2</v>
      </c>
      <c r="F17" s="518">
        <f t="shared" si="2"/>
        <v>0.12300000000000001</v>
      </c>
      <c r="G17" s="518">
        <f t="shared" si="3"/>
        <v>4.2000000000000003E-2</v>
      </c>
      <c r="H17" s="518">
        <f t="shared" si="4"/>
        <v>3.4782400000000005E-2</v>
      </c>
      <c r="I17" s="518">
        <f t="shared" si="5"/>
        <v>3.5384579999999999E-2</v>
      </c>
      <c r="J17" s="518">
        <f t="shared" si="6"/>
        <v>1.7429999999999998E-2</v>
      </c>
      <c r="K17" s="518">
        <f t="shared" si="7"/>
        <v>1.9373399999999999E-2</v>
      </c>
      <c r="L17" s="518">
        <f t="shared" si="8"/>
        <v>6.9939699999999995E-3</v>
      </c>
      <c r="M17" s="518">
        <f t="shared" si="9"/>
        <v>2.3269999999999999E-4</v>
      </c>
      <c r="N17" s="518">
        <f t="shared" si="10"/>
        <v>0.28000000000000003</v>
      </c>
      <c r="O17" s="518">
        <f t="shared" si="11"/>
        <v>3.5257499999999997E-2</v>
      </c>
    </row>
    <row r="18" spans="1:15" x14ac:dyDescent="0.35">
      <c r="A18" s="518" t="s">
        <v>532</v>
      </c>
      <c r="B18" s="518" t="s">
        <v>534</v>
      </c>
      <c r="C18" s="518" t="s">
        <v>1108</v>
      </c>
      <c r="D18" s="518">
        <f t="shared" si="0"/>
        <v>1.52</v>
      </c>
      <c r="E18" s="518">
        <f t="shared" si="1"/>
        <v>4.8000000000000001E-2</v>
      </c>
      <c r="F18" s="518">
        <f t="shared" si="2"/>
        <v>0.185</v>
      </c>
      <c r="G18" s="518">
        <f t="shared" si="3"/>
        <v>6.3E-2</v>
      </c>
      <c r="H18" s="518">
        <f t="shared" si="4"/>
        <v>4.6521460000000001E-2</v>
      </c>
      <c r="I18" s="518">
        <f t="shared" si="5"/>
        <v>4.769226E-2</v>
      </c>
      <c r="J18" s="518">
        <f t="shared" si="6"/>
        <v>2.3654999999999999E-2</v>
      </c>
      <c r="K18" s="518">
        <f t="shared" si="7"/>
        <v>2.9060099999999998E-2</v>
      </c>
      <c r="L18" s="518">
        <f t="shared" si="8"/>
        <v>1.069666E-2</v>
      </c>
      <c r="M18" s="518">
        <f t="shared" si="9"/>
        <v>3.5799999999999997E-4</v>
      </c>
      <c r="N18" s="518">
        <f t="shared" si="10"/>
        <v>0.44</v>
      </c>
      <c r="O18" s="518">
        <f t="shared" si="11"/>
        <v>4.1462819999999991E-2</v>
      </c>
    </row>
    <row r="19" spans="1:15" x14ac:dyDescent="0.35">
      <c r="A19" s="518" t="s">
        <v>532</v>
      </c>
      <c r="B19" s="518" t="s">
        <v>1080</v>
      </c>
      <c r="C19" s="518" t="s">
        <v>1109</v>
      </c>
      <c r="D19" s="518">
        <f t="shared" si="0"/>
        <v>1</v>
      </c>
      <c r="E19" s="518">
        <f t="shared" si="1"/>
        <v>2.7999999999999997E-2</v>
      </c>
      <c r="F19" s="518">
        <f t="shared" si="2"/>
        <v>0.13699999999999998</v>
      </c>
      <c r="G19" s="518">
        <f t="shared" si="3"/>
        <v>3.9E-2</v>
      </c>
      <c r="H19" s="518">
        <f t="shared" si="4"/>
        <v>2.60868E-2</v>
      </c>
      <c r="I19" s="518">
        <f t="shared" si="5"/>
        <v>2.82051E-2</v>
      </c>
      <c r="J19" s="518">
        <f t="shared" si="6"/>
        <v>1.494E-2</v>
      </c>
      <c r="K19" s="518">
        <f t="shared" si="7"/>
        <v>1.6144499999999999E-2</v>
      </c>
      <c r="L19" s="518">
        <f t="shared" si="8"/>
        <v>4.5255099999999999E-3</v>
      </c>
      <c r="M19" s="518">
        <f t="shared" si="9"/>
        <v>1.7899999999999999E-4</v>
      </c>
      <c r="N19" s="518">
        <f t="shared" si="10"/>
        <v>0.4</v>
      </c>
      <c r="O19" s="518">
        <f t="shared" si="11"/>
        <v>2.6795699999999999E-2</v>
      </c>
    </row>
    <row r="20" spans="1:15" x14ac:dyDescent="0.35">
      <c r="A20" s="518" t="s">
        <v>532</v>
      </c>
      <c r="B20" s="518" t="s">
        <v>1117</v>
      </c>
      <c r="C20" s="518" t="s">
        <v>1110</v>
      </c>
      <c r="D20" s="518">
        <f t="shared" si="0"/>
        <v>0.68</v>
      </c>
      <c r="E20" s="518">
        <f t="shared" si="1"/>
        <v>1.6E-2</v>
      </c>
      <c r="F20" s="518">
        <f t="shared" si="2"/>
        <v>8.1000000000000003E-2</v>
      </c>
      <c r="G20" s="518">
        <f t="shared" si="3"/>
        <v>3.1E-2</v>
      </c>
      <c r="H20" s="518">
        <f t="shared" si="4"/>
        <v>1.0869500000000001E-2</v>
      </c>
      <c r="I20" s="518">
        <f t="shared" si="5"/>
        <v>1.9999980000000001E-2</v>
      </c>
      <c r="J20" s="518">
        <f t="shared" si="6"/>
        <v>1.5687E-2</v>
      </c>
      <c r="K20" s="518">
        <f t="shared" si="7"/>
        <v>1.194693E-2</v>
      </c>
      <c r="L20" s="518">
        <f t="shared" si="8"/>
        <v>2.262755E-3</v>
      </c>
      <c r="M20" s="518">
        <f t="shared" si="9"/>
        <v>1.7899999999999999E-4</v>
      </c>
      <c r="N20" s="518">
        <f t="shared" si="10"/>
        <v>0.56000000000000005</v>
      </c>
      <c r="O20" s="518">
        <f t="shared" si="11"/>
        <v>1.1846520000000001E-2</v>
      </c>
    </row>
    <row r="21" spans="1:15" x14ac:dyDescent="0.35">
      <c r="A21" s="518" t="s">
        <v>535</v>
      </c>
      <c r="B21" s="518" t="s">
        <v>536</v>
      </c>
      <c r="C21" s="518" t="s">
        <v>1111</v>
      </c>
      <c r="D21" s="518">
        <f t="shared" si="0"/>
        <v>1.03</v>
      </c>
      <c r="E21" s="518">
        <f t="shared" si="1"/>
        <v>0.04</v>
      </c>
      <c r="F21" s="518">
        <f t="shared" si="2"/>
        <v>0.12300000000000001</v>
      </c>
      <c r="G21" s="518">
        <f t="shared" si="3"/>
        <v>3.9E-2</v>
      </c>
      <c r="H21" s="518">
        <f t="shared" si="4"/>
        <v>4.3478000000000003E-2</v>
      </c>
      <c r="I21" s="518">
        <f t="shared" si="5"/>
        <v>3.8461500000000003E-2</v>
      </c>
      <c r="J21" s="518">
        <f t="shared" si="6"/>
        <v>1.992E-2</v>
      </c>
      <c r="K21" s="518">
        <f t="shared" si="7"/>
        <v>2.3248080000000001E-2</v>
      </c>
      <c r="L21" s="518">
        <f t="shared" si="8"/>
        <v>9.4624299999999991E-3</v>
      </c>
      <c r="M21" s="518">
        <f t="shared" si="9"/>
        <v>2.8639999999999997E-4</v>
      </c>
      <c r="N21" s="518">
        <f t="shared" si="10"/>
        <v>0.4</v>
      </c>
      <c r="O21" s="518">
        <f t="shared" si="11"/>
        <v>3.5257499999999997E-2</v>
      </c>
    </row>
    <row r="22" spans="1:15" x14ac:dyDescent="0.35">
      <c r="A22" s="518" t="s">
        <v>535</v>
      </c>
      <c r="B22" s="518" t="s">
        <v>537</v>
      </c>
      <c r="C22" s="518" t="s">
        <v>1112</v>
      </c>
      <c r="D22" s="518">
        <f t="shared" si="0"/>
        <v>1.53</v>
      </c>
      <c r="E22" s="518">
        <f t="shared" si="1"/>
        <v>0.06</v>
      </c>
      <c r="F22" s="518">
        <f t="shared" si="2"/>
        <v>0.184</v>
      </c>
      <c r="G22" s="518">
        <f t="shared" si="3"/>
        <v>5.7999999999999996E-2</v>
      </c>
      <c r="H22" s="518">
        <f t="shared" si="4"/>
        <v>5.826052000000001E-2</v>
      </c>
      <c r="I22" s="518">
        <f t="shared" si="5"/>
        <v>5.153841E-2</v>
      </c>
      <c r="J22" s="518">
        <f t="shared" si="6"/>
        <v>2.0915999999999997E-2</v>
      </c>
      <c r="K22" s="518">
        <f t="shared" si="7"/>
        <v>2.7122759999999996E-2</v>
      </c>
      <c r="L22" s="518">
        <f t="shared" si="8"/>
        <v>1.2342299999999999E-2</v>
      </c>
      <c r="M22" s="518">
        <f t="shared" si="9"/>
        <v>4.2959999999999998E-4</v>
      </c>
      <c r="N22" s="518">
        <f t="shared" si="10"/>
        <v>0.6</v>
      </c>
      <c r="O22" s="518">
        <f t="shared" si="11"/>
        <v>2.8205999999999998E-2</v>
      </c>
    </row>
    <row r="23" spans="1:15" x14ac:dyDescent="0.35">
      <c r="A23" s="518" t="s">
        <v>535</v>
      </c>
      <c r="B23" s="518" t="s">
        <v>1081</v>
      </c>
      <c r="C23" s="518" t="s">
        <v>1113</v>
      </c>
      <c r="D23" s="518">
        <f t="shared" si="0"/>
        <v>1</v>
      </c>
      <c r="E23" s="518">
        <f t="shared" si="1"/>
        <v>0.04</v>
      </c>
      <c r="F23" s="518">
        <f t="shared" si="2"/>
        <v>0.17600000000000002</v>
      </c>
      <c r="G23" s="518">
        <f t="shared" si="3"/>
        <v>1.7000000000000001E-2</v>
      </c>
      <c r="H23" s="518">
        <f t="shared" si="4"/>
        <v>4.3478000000000003E-2</v>
      </c>
      <c r="I23" s="518">
        <f t="shared" si="5"/>
        <v>3.8461500000000003E-2</v>
      </c>
      <c r="J23" s="518">
        <f t="shared" si="6"/>
        <v>1.992E-2</v>
      </c>
      <c r="K23" s="518">
        <f t="shared" si="7"/>
        <v>2.3248080000000001E-2</v>
      </c>
      <c r="L23" s="518">
        <f t="shared" si="8"/>
        <v>9.4624299999999991E-3</v>
      </c>
      <c r="M23" s="518">
        <f t="shared" si="9"/>
        <v>2.8639999999999997E-4</v>
      </c>
      <c r="N23" s="518">
        <f t="shared" si="10"/>
        <v>0.28000000000000003</v>
      </c>
      <c r="O23" s="518">
        <f t="shared" si="11"/>
        <v>3.5257499999999997E-2</v>
      </c>
    </row>
    <row r="24" spans="1:15" x14ac:dyDescent="0.35">
      <c r="A24" s="518" t="s">
        <v>535</v>
      </c>
      <c r="B24" s="518" t="s">
        <v>1117</v>
      </c>
      <c r="C24" s="518" t="s">
        <v>1114</v>
      </c>
      <c r="D24" s="518">
        <f t="shared" si="0"/>
        <v>0.68</v>
      </c>
      <c r="E24" s="518">
        <f t="shared" si="1"/>
        <v>1.6E-2</v>
      </c>
      <c r="F24" s="518">
        <f t="shared" si="2"/>
        <v>8.1000000000000003E-2</v>
      </c>
      <c r="G24" s="518">
        <f t="shared" si="3"/>
        <v>3.1E-2</v>
      </c>
      <c r="H24" s="518">
        <f t="shared" si="4"/>
        <v>1.0869500000000001E-2</v>
      </c>
      <c r="I24" s="518">
        <f t="shared" si="5"/>
        <v>1.9999980000000001E-2</v>
      </c>
      <c r="J24" s="518">
        <f t="shared" si="6"/>
        <v>1.5687E-2</v>
      </c>
      <c r="K24" s="518">
        <f t="shared" si="7"/>
        <v>1.194693E-2</v>
      </c>
      <c r="L24" s="518">
        <f t="shared" si="8"/>
        <v>2.262755E-3</v>
      </c>
      <c r="M24" s="518">
        <f t="shared" si="9"/>
        <v>1.7899999999999999E-4</v>
      </c>
      <c r="N24" s="518">
        <f t="shared" si="10"/>
        <v>0.56000000000000005</v>
      </c>
      <c r="O24" s="518">
        <f t="shared" si="11"/>
        <v>1.1846520000000001E-2</v>
      </c>
    </row>
    <row r="25" spans="1:15" x14ac:dyDescent="0.35">
      <c r="A25" s="518" t="s">
        <v>692</v>
      </c>
      <c r="B25" s="518" t="s">
        <v>991</v>
      </c>
      <c r="C25" s="518" t="s">
        <v>1115</v>
      </c>
      <c r="D25" s="518">
        <f t="shared" si="0"/>
        <v>0.67</v>
      </c>
      <c r="E25" s="518">
        <f t="shared" si="1"/>
        <v>1.8000000000000002E-2</v>
      </c>
      <c r="F25" s="518">
        <f t="shared" si="2"/>
        <v>7.2000000000000008E-2</v>
      </c>
      <c r="G25" s="518">
        <f t="shared" si="3"/>
        <v>3.4000000000000002E-2</v>
      </c>
      <c r="H25" s="518">
        <f t="shared" si="4"/>
        <v>1.1347758000000001E-2</v>
      </c>
      <c r="I25" s="518">
        <f t="shared" si="5"/>
        <v>1.8589725000000001E-2</v>
      </c>
      <c r="J25" s="518">
        <f t="shared" si="6"/>
        <v>1.6334399999999999E-2</v>
      </c>
      <c r="K25" s="518">
        <f t="shared" si="7"/>
        <v>1.5208118999999999E-2</v>
      </c>
      <c r="L25" s="518">
        <f t="shared" si="8"/>
        <v>2.8798700000000001E-3</v>
      </c>
      <c r="M25" s="518">
        <f t="shared" si="9"/>
        <v>1.7899999999999999E-4</v>
      </c>
      <c r="N25" s="518">
        <f t="shared" si="10"/>
        <v>0.48</v>
      </c>
      <c r="O25" s="518">
        <f t="shared" si="11"/>
        <v>1.5033797999999998E-2</v>
      </c>
    </row>
    <row r="26" spans="1:15" x14ac:dyDescent="0.35">
      <c r="A26" s="518" t="s">
        <v>692</v>
      </c>
      <c r="B26" s="641" t="s">
        <v>992</v>
      </c>
      <c r="C26" s="518" t="s">
        <v>1116</v>
      </c>
      <c r="D26" s="518">
        <f t="shared" si="0"/>
        <v>0.66</v>
      </c>
      <c r="E26" s="518">
        <f t="shared" si="1"/>
        <v>1.8000000000000002E-2</v>
      </c>
      <c r="F26" s="518">
        <f t="shared" si="2"/>
        <v>6.8000000000000005E-2</v>
      </c>
      <c r="G26" s="518">
        <f t="shared" si="3"/>
        <v>3.5000000000000003E-2</v>
      </c>
      <c r="H26" s="518">
        <f t="shared" si="4"/>
        <v>7.8260400000000011E-3</v>
      </c>
      <c r="I26" s="518">
        <f t="shared" si="5"/>
        <v>1.6666650000000002E-2</v>
      </c>
      <c r="J26" s="518">
        <f t="shared" si="6"/>
        <v>1.2449999999999999E-2</v>
      </c>
      <c r="K26" s="518">
        <f t="shared" si="7"/>
        <v>9.0409199999999992E-3</v>
      </c>
      <c r="L26" s="518">
        <f t="shared" si="8"/>
        <v>2.0981909999999997E-3</v>
      </c>
      <c r="M26" s="518">
        <f t="shared" si="9"/>
        <v>1.3783E-4</v>
      </c>
      <c r="N26" s="518">
        <f t="shared" si="10"/>
        <v>0.52</v>
      </c>
      <c r="O26" s="518">
        <f t="shared" si="11"/>
        <v>1.12824E-2</v>
      </c>
    </row>
    <row r="27" spans="1:15" s="548" customFormat="1" x14ac:dyDescent="0.35">
      <c r="B27" s="548" t="s">
        <v>180</v>
      </c>
      <c r="C27" s="548" t="s">
        <v>180</v>
      </c>
      <c r="D27" s="548">
        <f>_Ped_Ent_Speciale_01/100</f>
        <v>0</v>
      </c>
      <c r="E27" s="548">
        <f>_Ped_Ent_Speciale_02/100</f>
        <v>0</v>
      </c>
      <c r="F27" s="548">
        <f>_Ped_Ent_Speciale_03/100</f>
        <v>0</v>
      </c>
      <c r="G27" s="548">
        <f>_Ped_Ent_Speciale_04/100</f>
        <v>0</v>
      </c>
      <c r="H27" s="548">
        <f>_Ped_Ent_Speciale_05/100</f>
        <v>0</v>
      </c>
      <c r="I27" s="548">
        <f>_Ped_Ent_Speciale_06/100</f>
        <v>0</v>
      </c>
      <c r="J27" s="548">
        <f>_Ped_Ent_Speciale_07/100</f>
        <v>0</v>
      </c>
      <c r="K27" s="548">
        <f>_Ped_Ent_Speciale_08/100</f>
        <v>0</v>
      </c>
      <c r="L27" s="548">
        <f>_Ped_Ent_Speciale_09/100</f>
        <v>0</v>
      </c>
      <c r="M27" s="548">
        <f>_Ped_Ent_Speciale_10/100</f>
        <v>0</v>
      </c>
      <c r="N27" s="548">
        <f>_Ped_Ent_Speciale_11/100</f>
        <v>0</v>
      </c>
      <c r="O27" s="548">
        <f>_Ped_Ent_Speciale_12/100</f>
        <v>0</v>
      </c>
    </row>
    <row r="28" spans="1:15" x14ac:dyDescent="0.35">
      <c r="A28" s="518" t="s">
        <v>552</v>
      </c>
    </row>
    <row r="30" spans="1:15" x14ac:dyDescent="0.35">
      <c r="D30" s="518" t="s">
        <v>1061</v>
      </c>
    </row>
    <row r="31" spans="1:15" x14ac:dyDescent="0.35">
      <c r="A31" s="518" t="s">
        <v>553</v>
      </c>
    </row>
    <row r="32" spans="1:15" x14ac:dyDescent="0.35">
      <c r="B32" s="518" t="s">
        <v>649</v>
      </c>
      <c r="C32" s="518" t="str">
        <f>IF(A32&lt;&gt;"",A32&amp;": "&amp;B32,B32)</f>
        <v>Nutrilon Nenatal BMF</v>
      </c>
      <c r="D32" s="518">
        <f t="shared" ref="D32:D54" si="12">VLOOKUP(B32,tblVoedingPoeder,2,FALSE)/100</f>
        <v>3.47</v>
      </c>
      <c r="E32" s="518">
        <f t="shared" ref="E32:E54" si="13">VLOOKUP(B32,tblVoedingPoeder,3,FALSE)/100</f>
        <v>0.252</v>
      </c>
      <c r="F32" s="518">
        <f t="shared" ref="F32:F54" si="14">VLOOKUP(B32,tblVoedingPoeder,4,FALSE)/100</f>
        <v>0.622</v>
      </c>
      <c r="G32" s="518">
        <f t="shared" ref="G32:G54" si="15">VLOOKUP(B32,tblVoedingPoeder,5,FALSE)/100</f>
        <v>0</v>
      </c>
      <c r="H32" s="518">
        <f t="shared" ref="H32:H54" si="16">VLOOKUP(B32,tblVoedingPoeder,6,FALSE)*tblOmrekenNA/100</f>
        <v>0.34912834000000004</v>
      </c>
      <c r="I32" s="518">
        <f t="shared" ref="I32:I54" si="17">VLOOKUP(B32,tblVoedingPoeder,7,FALSE)*tblOmrekenK/100</f>
        <v>0.13538448</v>
      </c>
      <c r="J32" s="518">
        <f t="shared" ref="J32:J54" si="18">VLOOKUP(B32,tblVoedingPoeder,8,FALSE)*tblOmrekenCa/100</f>
        <v>0.37125899999999995</v>
      </c>
      <c r="K32" s="518">
        <f t="shared" ref="K32:K54" si="19">VLOOKUP(B32,tblVoedingPoeder,9,FALSE)*tblOmrekenP/100</f>
        <v>0.28156007999999999</v>
      </c>
      <c r="L32" s="518">
        <f t="shared" ref="L32:L54" si="20">VLOOKUP(B32,tblVoedingPoeder,10,FALSE)*tblOmrekenMg/100</f>
        <v>4.7312149999999997E-2</v>
      </c>
      <c r="M32" s="518">
        <f t="shared" ref="M32:M54" si="21">VLOOKUP(B32,tblVoedingPoeder,11,FALSE)*tblOmrekenFe/100</f>
        <v>0</v>
      </c>
      <c r="N32" s="518">
        <f t="shared" ref="N32:N54" si="22">VLOOKUP(B32,tblVoedingPoeder,12,FALSE)*tblOmrekenVitD/100</f>
        <v>46</v>
      </c>
      <c r="O32" s="518">
        <f t="shared" ref="O32:O54" si="23">VLOOKUP(B32,tblVoedingPoeder,13,FALSE)*tblOmrekenCl/100</f>
        <v>0.16162037999999998</v>
      </c>
    </row>
    <row r="33" spans="2:15" x14ac:dyDescent="0.35">
      <c r="B33" s="642" t="s">
        <v>993</v>
      </c>
      <c r="C33" s="518" t="str">
        <f t="shared" ref="C33:C52" si="24">IF(A33&lt;&gt;"",A33&amp;": "&amp;B33,B33)</f>
        <v>Hero Baby 1 NS Standaard</v>
      </c>
      <c r="D33" s="518">
        <f t="shared" si="12"/>
        <v>5.09</v>
      </c>
      <c r="E33" s="518">
        <f t="shared" si="13"/>
        <v>0.1</v>
      </c>
      <c r="F33" s="518">
        <f t="shared" si="14"/>
        <v>0.56000000000000005</v>
      </c>
      <c r="G33" s="518">
        <f t="shared" si="15"/>
        <v>0.27</v>
      </c>
      <c r="H33" s="518">
        <f t="shared" si="16"/>
        <v>5.2173600000000001E-2</v>
      </c>
      <c r="I33" s="518">
        <f t="shared" si="17"/>
        <v>0.11846142</v>
      </c>
      <c r="J33" s="518">
        <f t="shared" si="18"/>
        <v>8.4162000000000001E-2</v>
      </c>
      <c r="K33" s="518">
        <f t="shared" si="19"/>
        <v>6.4577999999999997E-2</v>
      </c>
      <c r="L33" s="518">
        <f t="shared" si="20"/>
        <v>1.2671428E-2</v>
      </c>
      <c r="M33" s="518">
        <f t="shared" si="21"/>
        <v>5.5489999999999999E-4</v>
      </c>
      <c r="N33" s="518">
        <f t="shared" si="22"/>
        <v>3.68</v>
      </c>
      <c r="O33" s="518">
        <f t="shared" si="23"/>
        <v>8.6874480000000004E-2</v>
      </c>
    </row>
    <row r="34" spans="2:15" x14ac:dyDescent="0.35">
      <c r="B34" s="642" t="s">
        <v>994</v>
      </c>
      <c r="C34" s="518" t="str">
        <f t="shared" si="24"/>
        <v>Hero Baby 2 NS Standaard</v>
      </c>
      <c r="D34" s="518">
        <f t="shared" si="12"/>
        <v>4.7</v>
      </c>
      <c r="E34" s="518">
        <f t="shared" si="13"/>
        <v>9.5000000000000001E-2</v>
      </c>
      <c r="F34" s="518">
        <f t="shared" si="14"/>
        <v>0.64</v>
      </c>
      <c r="G34" s="518">
        <f t="shared" si="15"/>
        <v>0.19</v>
      </c>
      <c r="H34" s="518">
        <f t="shared" si="16"/>
        <v>6.956480000000001E-2</v>
      </c>
      <c r="I34" s="518">
        <f t="shared" si="17"/>
        <v>0.14205113999999999</v>
      </c>
      <c r="J34" s="518">
        <f t="shared" si="18"/>
        <v>0.100845</v>
      </c>
      <c r="K34" s="518">
        <f t="shared" si="19"/>
        <v>7.8462270000000001E-2</v>
      </c>
      <c r="L34" s="518">
        <f t="shared" si="20"/>
        <v>2.139332E-2</v>
      </c>
      <c r="M34" s="518">
        <f t="shared" si="21"/>
        <v>1.4678E-3</v>
      </c>
      <c r="N34" s="518">
        <f t="shared" si="22"/>
        <v>3.44</v>
      </c>
      <c r="O34" s="518">
        <f t="shared" si="23"/>
        <v>8.3771819999999997E-2</v>
      </c>
    </row>
    <row r="35" spans="2:15" x14ac:dyDescent="0.35">
      <c r="B35" s="642" t="s">
        <v>995</v>
      </c>
      <c r="C35" s="518" t="str">
        <f t="shared" si="24"/>
        <v>Hero Baby 1 NS Comfort</v>
      </c>
      <c r="D35" s="518">
        <f t="shared" si="12"/>
        <v>5.03</v>
      </c>
      <c r="E35" s="518">
        <f t="shared" si="13"/>
        <v>0.11</v>
      </c>
      <c r="F35" s="518">
        <f t="shared" si="14"/>
        <v>0.52</v>
      </c>
      <c r="G35" s="518">
        <f t="shared" si="15"/>
        <v>0.27</v>
      </c>
      <c r="H35" s="518">
        <f t="shared" si="16"/>
        <v>5.2173600000000001E-2</v>
      </c>
      <c r="I35" s="518">
        <f t="shared" si="17"/>
        <v>0.11846142</v>
      </c>
      <c r="J35" s="518">
        <f t="shared" si="18"/>
        <v>8.4162000000000001E-2</v>
      </c>
      <c r="K35" s="518">
        <f t="shared" si="19"/>
        <v>6.4577999999999997E-2</v>
      </c>
      <c r="L35" s="518">
        <f t="shared" si="20"/>
        <v>1.2671428E-2</v>
      </c>
      <c r="M35" s="518">
        <f t="shared" si="21"/>
        <v>5.5489999999999999E-4</v>
      </c>
      <c r="N35" s="518">
        <f t="shared" si="22"/>
        <v>3.68</v>
      </c>
      <c r="O35" s="518">
        <f t="shared" si="23"/>
        <v>8.6874480000000004E-2</v>
      </c>
    </row>
    <row r="36" spans="2:15" x14ac:dyDescent="0.35">
      <c r="B36" s="642" t="s">
        <v>996</v>
      </c>
      <c r="C36" s="518" t="str">
        <f t="shared" si="24"/>
        <v>Hero Baby 2 NS Comfort</v>
      </c>
      <c r="D36" s="518">
        <f t="shared" si="12"/>
        <v>5.03</v>
      </c>
      <c r="E36" s="518">
        <f t="shared" si="13"/>
        <v>0.11</v>
      </c>
      <c r="F36" s="518">
        <f t="shared" si="14"/>
        <v>0.52</v>
      </c>
      <c r="G36" s="518">
        <f t="shared" si="15"/>
        <v>0.27</v>
      </c>
      <c r="H36" s="518">
        <f t="shared" si="16"/>
        <v>5.2173600000000001E-2</v>
      </c>
      <c r="I36" s="518">
        <f t="shared" si="17"/>
        <v>0.11846142</v>
      </c>
      <c r="J36" s="518">
        <f t="shared" si="18"/>
        <v>8.4162000000000001E-2</v>
      </c>
      <c r="K36" s="518">
        <f t="shared" si="19"/>
        <v>6.4577999999999997E-2</v>
      </c>
      <c r="L36" s="518">
        <f t="shared" si="20"/>
        <v>1.2671428E-2</v>
      </c>
      <c r="M36" s="518">
        <f t="shared" si="21"/>
        <v>1.5215000000000001E-3</v>
      </c>
      <c r="N36" s="518">
        <f t="shared" si="22"/>
        <v>3.68</v>
      </c>
      <c r="O36" s="518">
        <f t="shared" si="23"/>
        <v>8.6874480000000004E-2</v>
      </c>
    </row>
    <row r="37" spans="2:15" x14ac:dyDescent="0.35">
      <c r="B37" s="642" t="s">
        <v>997</v>
      </c>
      <c r="C37" s="518" t="str">
        <f t="shared" si="24"/>
        <v>Hero Baby 1 NS Pep</v>
      </c>
      <c r="D37" s="518">
        <f t="shared" si="12"/>
        <v>4.93</v>
      </c>
      <c r="E37" s="518">
        <f t="shared" si="13"/>
        <v>0.13</v>
      </c>
      <c r="F37" s="518">
        <f t="shared" si="14"/>
        <v>0.53</v>
      </c>
      <c r="G37" s="518">
        <f t="shared" si="15"/>
        <v>0.26</v>
      </c>
      <c r="H37" s="518">
        <f t="shared" si="16"/>
        <v>8.8695120000000002E-2</v>
      </c>
      <c r="I37" s="518">
        <f t="shared" si="17"/>
        <v>0.1410255</v>
      </c>
      <c r="J37" s="518">
        <f t="shared" si="18"/>
        <v>9.9599999999999994E-2</v>
      </c>
      <c r="K37" s="518">
        <f t="shared" si="19"/>
        <v>7.4264699999999989E-2</v>
      </c>
      <c r="L37" s="518">
        <f t="shared" si="20"/>
        <v>2.0570499999999999E-2</v>
      </c>
      <c r="M37" s="518">
        <f t="shared" si="21"/>
        <v>6.265E-4</v>
      </c>
      <c r="N37" s="518">
        <f t="shared" si="22"/>
        <v>3.12</v>
      </c>
      <c r="O37" s="518">
        <f t="shared" si="23"/>
        <v>8.8848899999999981E-2</v>
      </c>
    </row>
    <row r="38" spans="2:15" x14ac:dyDescent="0.35">
      <c r="B38" s="642" t="s">
        <v>998</v>
      </c>
      <c r="C38" s="518" t="str">
        <f t="shared" si="24"/>
        <v>Hero Baby 2 NS Pep</v>
      </c>
      <c r="D38" s="518">
        <f t="shared" si="12"/>
        <v>4.93</v>
      </c>
      <c r="E38" s="518">
        <f t="shared" si="13"/>
        <v>0.13</v>
      </c>
      <c r="F38" s="518">
        <f t="shared" si="14"/>
        <v>0.53</v>
      </c>
      <c r="G38" s="518">
        <f t="shared" si="15"/>
        <v>0.26</v>
      </c>
      <c r="H38" s="518">
        <f t="shared" si="16"/>
        <v>8.8695120000000002E-2</v>
      </c>
      <c r="I38" s="518">
        <f t="shared" si="17"/>
        <v>0.1410255</v>
      </c>
      <c r="J38" s="518">
        <f t="shared" si="18"/>
        <v>9.9599999999999994E-2</v>
      </c>
      <c r="K38" s="518">
        <f t="shared" si="19"/>
        <v>7.4264699999999989E-2</v>
      </c>
      <c r="L38" s="518">
        <f t="shared" si="20"/>
        <v>2.0570499999999999E-2</v>
      </c>
      <c r="M38" s="518">
        <f t="shared" si="21"/>
        <v>1.2708999999999997E-3</v>
      </c>
      <c r="N38" s="518">
        <f t="shared" si="22"/>
        <v>3.12</v>
      </c>
      <c r="O38" s="518">
        <f t="shared" si="23"/>
        <v>8.8848899999999981E-2</v>
      </c>
    </row>
    <row r="39" spans="2:15" x14ac:dyDescent="0.35">
      <c r="B39" s="642" t="s">
        <v>999</v>
      </c>
      <c r="C39" s="518" t="str">
        <f t="shared" si="24"/>
        <v>Nutramigen 1 LGG pdr</v>
      </c>
      <c r="D39" s="518">
        <f t="shared" si="12"/>
        <v>5</v>
      </c>
      <c r="E39" s="518">
        <f t="shared" si="13"/>
        <v>0.14000000000000001</v>
      </c>
      <c r="F39" s="518">
        <f t="shared" si="14"/>
        <v>0.55000000000000004</v>
      </c>
      <c r="G39" s="518">
        <f t="shared" si="15"/>
        <v>0.25</v>
      </c>
      <c r="H39" s="518">
        <f t="shared" si="16"/>
        <v>0.1043472</v>
      </c>
      <c r="I39" s="518">
        <f t="shared" si="17"/>
        <v>0.1564101</v>
      </c>
      <c r="J39" s="518">
        <f t="shared" si="18"/>
        <v>0.14068499999999998</v>
      </c>
      <c r="K39" s="518">
        <f t="shared" si="19"/>
        <v>0.12592709999999999</v>
      </c>
      <c r="L39" s="518">
        <f t="shared" si="20"/>
        <v>2.0570499999999999E-2</v>
      </c>
      <c r="M39" s="518">
        <f t="shared" si="21"/>
        <v>1.611E-3</v>
      </c>
      <c r="N39" s="518">
        <f t="shared" si="22"/>
        <v>3</v>
      </c>
      <c r="O39" s="518">
        <f t="shared" si="23"/>
        <v>0.13538879999999998</v>
      </c>
    </row>
    <row r="40" spans="2:15" x14ac:dyDescent="0.35">
      <c r="B40" s="642" t="s">
        <v>38</v>
      </c>
      <c r="C40" s="518" t="str">
        <f t="shared" si="24"/>
        <v>Nutramigen 2 LGG pdr</v>
      </c>
      <c r="D40" s="518">
        <f t="shared" si="12"/>
        <v>4.66</v>
      </c>
      <c r="E40" s="518">
        <f t="shared" si="13"/>
        <v>0.11599999999999999</v>
      </c>
      <c r="F40" s="518">
        <f t="shared" si="14"/>
        <v>0.59</v>
      </c>
      <c r="G40" s="518">
        <f t="shared" si="15"/>
        <v>0.2</v>
      </c>
      <c r="H40" s="518">
        <f t="shared" si="16"/>
        <v>7.478216E-2</v>
      </c>
      <c r="I40" s="518">
        <f t="shared" si="17"/>
        <v>0.14564088</v>
      </c>
      <c r="J40" s="518">
        <f t="shared" si="18"/>
        <v>0.15886199999999998</v>
      </c>
      <c r="K40" s="518">
        <f t="shared" si="19"/>
        <v>0.10849103999999998</v>
      </c>
      <c r="L40" s="518">
        <f t="shared" si="20"/>
        <v>1.9336269999999999E-2</v>
      </c>
      <c r="M40" s="518">
        <f t="shared" si="21"/>
        <v>1.4678E-3</v>
      </c>
      <c r="N40" s="518">
        <f t="shared" si="22"/>
        <v>2.92</v>
      </c>
      <c r="O40" s="518">
        <f t="shared" si="23"/>
        <v>0.10520837999999999</v>
      </c>
    </row>
    <row r="41" spans="2:15" x14ac:dyDescent="0.35">
      <c r="B41" s="642" t="s">
        <v>1000</v>
      </c>
      <c r="C41" s="518" t="str">
        <f t="shared" si="24"/>
        <v>Nutrison Advanced Peptisorb Powder</v>
      </c>
      <c r="D41" s="518">
        <f t="shared" si="12"/>
        <v>4.0199999999999996</v>
      </c>
      <c r="E41" s="518">
        <f t="shared" si="13"/>
        <v>0.14699999999999999</v>
      </c>
      <c r="F41" s="518">
        <f t="shared" si="14"/>
        <v>0.71</v>
      </c>
      <c r="G41" s="518">
        <f t="shared" si="15"/>
        <v>6.7000000000000004E-2</v>
      </c>
      <c r="H41" s="518">
        <f t="shared" si="16"/>
        <v>0.17478156000000003</v>
      </c>
      <c r="I41" s="518">
        <f t="shared" si="17"/>
        <v>0.15461522999999999</v>
      </c>
      <c r="J41" s="518">
        <f t="shared" si="18"/>
        <v>8.0177999999999999E-2</v>
      </c>
      <c r="K41" s="518">
        <f t="shared" si="19"/>
        <v>8.6211629999999997E-2</v>
      </c>
      <c r="L41" s="518">
        <f t="shared" si="20"/>
        <v>3.4558439999999996E-2</v>
      </c>
      <c r="M41" s="518">
        <f t="shared" si="21"/>
        <v>1.1455999999999999E-3</v>
      </c>
      <c r="N41" s="518">
        <f t="shared" si="22"/>
        <v>1.1200000000000001</v>
      </c>
      <c r="O41" s="518">
        <f t="shared" si="23"/>
        <v>0.14187617999999999</v>
      </c>
    </row>
    <row r="42" spans="2:15" x14ac:dyDescent="0.35">
      <c r="B42" s="642" t="s">
        <v>1001</v>
      </c>
      <c r="C42" s="518" t="str">
        <f t="shared" si="24"/>
        <v>Nutrilon Pepti Junior pdr</v>
      </c>
      <c r="D42" s="518">
        <f t="shared" si="12"/>
        <v>5.15</v>
      </c>
      <c r="E42" s="518">
        <f t="shared" si="13"/>
        <v>0.14000000000000001</v>
      </c>
      <c r="F42" s="518">
        <f t="shared" si="14"/>
        <v>0.53400000000000003</v>
      </c>
      <c r="G42" s="518">
        <f t="shared" si="15"/>
        <v>0.27300000000000002</v>
      </c>
      <c r="H42" s="518">
        <f t="shared" si="16"/>
        <v>6.0869199999999998E-2</v>
      </c>
      <c r="I42" s="518">
        <f t="shared" si="17"/>
        <v>0.12999987000000002</v>
      </c>
      <c r="J42" s="518">
        <f t="shared" si="18"/>
        <v>9.7110000000000002E-2</v>
      </c>
      <c r="K42" s="518">
        <f t="shared" si="19"/>
        <v>7.0390019999999998E-2</v>
      </c>
      <c r="L42" s="518">
        <f t="shared" si="20"/>
        <v>1.6456399999999996E-2</v>
      </c>
      <c r="M42" s="518">
        <f t="shared" si="21"/>
        <v>1.0739999999999999E-3</v>
      </c>
      <c r="N42" s="518">
        <f t="shared" si="22"/>
        <v>3.92</v>
      </c>
      <c r="O42" s="518">
        <f t="shared" si="23"/>
        <v>8.7438599999999991E-2</v>
      </c>
    </row>
    <row r="43" spans="2:15" x14ac:dyDescent="0.35">
      <c r="B43" s="642" t="s">
        <v>1002</v>
      </c>
      <c r="C43" s="518" t="str">
        <f t="shared" si="24"/>
        <v>Nutrilon Nenatal Start pdr</v>
      </c>
      <c r="D43" s="518">
        <f t="shared" si="12"/>
        <v>4.74</v>
      </c>
      <c r="E43" s="518">
        <f t="shared" si="13"/>
        <v>0.156</v>
      </c>
      <c r="F43" s="518">
        <f t="shared" si="14"/>
        <v>0.22899999999999998</v>
      </c>
      <c r="G43" s="518">
        <f t="shared" si="15"/>
        <v>0.498</v>
      </c>
      <c r="H43" s="518">
        <f t="shared" si="16"/>
        <v>0.1804337</v>
      </c>
      <c r="I43" s="518">
        <f t="shared" si="17"/>
        <v>0.12153833999999999</v>
      </c>
      <c r="J43" s="518">
        <f t="shared" si="18"/>
        <v>0.14765699999999998</v>
      </c>
      <c r="K43" s="518">
        <f t="shared" si="19"/>
        <v>0.10719947999999999</v>
      </c>
      <c r="L43" s="518">
        <f t="shared" si="20"/>
        <v>1.9336269999999999E-2</v>
      </c>
      <c r="M43" s="518">
        <f t="shared" si="21"/>
        <v>1.7004999999999998E-3</v>
      </c>
      <c r="N43" s="518">
        <f t="shared" si="22"/>
        <v>7.2</v>
      </c>
      <c r="O43" s="518">
        <f t="shared" si="23"/>
        <v>0.14215823999999999</v>
      </c>
    </row>
    <row r="44" spans="2:15" x14ac:dyDescent="0.35">
      <c r="B44" s="642" t="s">
        <v>989</v>
      </c>
      <c r="C44" s="518" t="str">
        <f t="shared" si="24"/>
        <v>Nutrilon Nenatal 1</v>
      </c>
      <c r="D44" s="518">
        <f t="shared" si="12"/>
        <v>4.91</v>
      </c>
      <c r="E44" s="518">
        <f t="shared" si="13"/>
        <v>0.13400000000000001</v>
      </c>
      <c r="F44" s="518">
        <f t="shared" si="14"/>
        <v>0.49099999999999999</v>
      </c>
      <c r="G44" s="518">
        <f t="shared" si="15"/>
        <v>0.26</v>
      </c>
      <c r="H44" s="518">
        <f t="shared" si="16"/>
        <v>7.9564740000000009E-2</v>
      </c>
      <c r="I44" s="518">
        <f t="shared" si="17"/>
        <v>0.12923064000000001</v>
      </c>
      <c r="J44" s="518">
        <f t="shared" si="18"/>
        <v>0.141681</v>
      </c>
      <c r="K44" s="518">
        <f t="shared" si="19"/>
        <v>9.9450120000000003E-2</v>
      </c>
      <c r="L44" s="518">
        <f t="shared" si="20"/>
        <v>1.8924859999999998E-2</v>
      </c>
      <c r="M44" s="518">
        <f t="shared" si="21"/>
        <v>1.4141000000000002E-3</v>
      </c>
      <c r="N44" s="518">
        <f t="shared" si="22"/>
        <v>4.4000000000000004</v>
      </c>
      <c r="O44" s="518">
        <f t="shared" si="23"/>
        <v>0.1015416</v>
      </c>
    </row>
    <row r="45" spans="2:15" x14ac:dyDescent="0.35">
      <c r="B45" s="612" t="s">
        <v>1003</v>
      </c>
      <c r="C45" s="518" t="str">
        <f t="shared" si="24"/>
        <v>Nutrilon Nenatal Protein Fortifier</v>
      </c>
      <c r="D45" s="518">
        <f t="shared" si="12"/>
        <v>3.38</v>
      </c>
      <c r="E45" s="518">
        <f t="shared" si="13"/>
        <v>0.82099999999999995</v>
      </c>
      <c r="F45" s="518">
        <f t="shared" si="14"/>
        <v>2.2000000000000002E-2</v>
      </c>
      <c r="G45" s="518">
        <f t="shared" si="15"/>
        <v>1E-3</v>
      </c>
      <c r="H45" s="518">
        <f t="shared" si="16"/>
        <v>0.33738928000000001</v>
      </c>
      <c r="I45" s="518">
        <f t="shared" si="17"/>
        <v>0.31435866000000001</v>
      </c>
      <c r="J45" s="518">
        <f t="shared" si="18"/>
        <v>0.13047599999999998</v>
      </c>
      <c r="K45" s="518">
        <f t="shared" si="19"/>
        <v>0.16661123999999997</v>
      </c>
      <c r="L45" s="518">
        <f t="shared" si="20"/>
        <v>1.8924859999999998E-2</v>
      </c>
      <c r="M45" s="518">
        <f t="shared" si="21"/>
        <v>0</v>
      </c>
      <c r="N45" s="518">
        <f t="shared" si="22"/>
        <v>0</v>
      </c>
      <c r="O45" s="518">
        <f t="shared" si="23"/>
        <v>1.8615959999999997E-2</v>
      </c>
    </row>
    <row r="46" spans="2:15" x14ac:dyDescent="0.35">
      <c r="B46" s="612" t="s">
        <v>1004</v>
      </c>
      <c r="C46" s="518" t="str">
        <f t="shared" si="24"/>
        <v>Calogen neutraal</v>
      </c>
      <c r="D46" s="518">
        <f t="shared" si="12"/>
        <v>4.5</v>
      </c>
      <c r="E46" s="518">
        <f t="shared" si="13"/>
        <v>0</v>
      </c>
      <c r="F46" s="518">
        <f t="shared" si="14"/>
        <v>0</v>
      </c>
      <c r="G46" s="518">
        <f t="shared" si="15"/>
        <v>0.5</v>
      </c>
      <c r="H46" s="518">
        <f t="shared" si="16"/>
        <v>3.04346E-3</v>
      </c>
      <c r="I46" s="518">
        <f t="shared" si="17"/>
        <v>0</v>
      </c>
      <c r="J46" s="518">
        <f t="shared" si="18"/>
        <v>0</v>
      </c>
      <c r="K46" s="518">
        <f t="shared" si="19"/>
        <v>0</v>
      </c>
      <c r="L46" s="518">
        <f t="shared" si="20"/>
        <v>0</v>
      </c>
      <c r="M46" s="518">
        <f t="shared" si="21"/>
        <v>0</v>
      </c>
      <c r="N46" s="518">
        <f t="shared" si="22"/>
        <v>0</v>
      </c>
      <c r="O46" s="518">
        <f t="shared" si="23"/>
        <v>2.8206000000000001E-5</v>
      </c>
    </row>
    <row r="47" spans="2:15" x14ac:dyDescent="0.35">
      <c r="B47" s="612" t="s">
        <v>1005</v>
      </c>
      <c r="C47" s="518" t="str">
        <f t="shared" si="24"/>
        <v>Liquigen</v>
      </c>
      <c r="D47" s="518">
        <f t="shared" si="12"/>
        <v>4.5</v>
      </c>
      <c r="E47" s="518">
        <f t="shared" si="13"/>
        <v>0</v>
      </c>
      <c r="F47" s="518">
        <f t="shared" si="14"/>
        <v>0</v>
      </c>
      <c r="G47" s="518">
        <f t="shared" si="15"/>
        <v>0.5</v>
      </c>
      <c r="H47" s="518">
        <f t="shared" si="16"/>
        <v>2.1739000000000003E-3</v>
      </c>
      <c r="I47" s="518">
        <f t="shared" si="17"/>
        <v>2.5641000000000001E-5</v>
      </c>
      <c r="J47" s="518">
        <f t="shared" si="18"/>
        <v>7.4699999999999986E-5</v>
      </c>
      <c r="K47" s="518">
        <f t="shared" si="19"/>
        <v>0</v>
      </c>
      <c r="L47" s="518">
        <f t="shared" si="20"/>
        <v>0</v>
      </c>
      <c r="M47" s="518">
        <f t="shared" si="21"/>
        <v>0</v>
      </c>
      <c r="N47" s="518">
        <f t="shared" si="22"/>
        <v>0</v>
      </c>
      <c r="O47" s="518">
        <f t="shared" si="23"/>
        <v>2.8205999999999997E-6</v>
      </c>
    </row>
    <row r="48" spans="2:15" x14ac:dyDescent="0.35">
      <c r="B48" s="612" t="s">
        <v>587</v>
      </c>
      <c r="C48" s="518" t="str">
        <f t="shared" si="24"/>
        <v>Fantomalt</v>
      </c>
      <c r="D48" s="518">
        <f t="shared" si="12"/>
        <v>3.84</v>
      </c>
      <c r="E48" s="518">
        <f t="shared" si="13"/>
        <v>0</v>
      </c>
      <c r="F48" s="518">
        <f t="shared" si="14"/>
        <v>0.96</v>
      </c>
      <c r="G48" s="518">
        <f t="shared" si="15"/>
        <v>0</v>
      </c>
      <c r="H48" s="518">
        <f t="shared" si="16"/>
        <v>8.6956000000000002E-4</v>
      </c>
      <c r="I48" s="518">
        <f t="shared" si="17"/>
        <v>0</v>
      </c>
      <c r="J48" s="518">
        <f t="shared" si="18"/>
        <v>0</v>
      </c>
      <c r="K48" s="518">
        <f t="shared" si="19"/>
        <v>0</v>
      </c>
      <c r="L48" s="518">
        <f t="shared" si="20"/>
        <v>0</v>
      </c>
      <c r="M48" s="518">
        <f t="shared" si="21"/>
        <v>0</v>
      </c>
      <c r="N48" s="518">
        <f t="shared" si="22"/>
        <v>0</v>
      </c>
      <c r="O48" s="518">
        <f t="shared" si="23"/>
        <v>0</v>
      </c>
    </row>
    <row r="49" spans="2:15" x14ac:dyDescent="0.35">
      <c r="B49" s="612" t="s">
        <v>1006</v>
      </c>
      <c r="C49" s="518" t="str">
        <f t="shared" si="24"/>
        <v>Nutrilon Pepti 1 pdr</v>
      </c>
      <c r="D49" s="518">
        <f t="shared" si="12"/>
        <v>4.93</v>
      </c>
      <c r="E49" s="518">
        <f t="shared" si="13"/>
        <v>0.11599999999999999</v>
      </c>
      <c r="F49" s="518">
        <f t="shared" si="14"/>
        <v>0.51800000000000002</v>
      </c>
      <c r="G49" s="518">
        <f t="shared" si="15"/>
        <v>0.25700000000000001</v>
      </c>
      <c r="H49" s="518">
        <f t="shared" si="16"/>
        <v>6.5216999999999997E-2</v>
      </c>
      <c r="I49" s="518">
        <f t="shared" si="17"/>
        <v>0.15333318000000001</v>
      </c>
      <c r="J49" s="518">
        <f t="shared" si="18"/>
        <v>8.6153999999999994E-2</v>
      </c>
      <c r="K49" s="518">
        <f t="shared" si="19"/>
        <v>6.1671990000000003E-2</v>
      </c>
      <c r="L49" s="518">
        <f t="shared" si="20"/>
        <v>1.6044989999999999E-2</v>
      </c>
      <c r="M49" s="518">
        <f t="shared" si="21"/>
        <v>6.981E-4</v>
      </c>
      <c r="N49" s="518">
        <f t="shared" si="22"/>
        <v>3.76</v>
      </c>
      <c r="O49" s="518">
        <f t="shared" si="23"/>
        <v>8.1797399999999992E-2</v>
      </c>
    </row>
    <row r="50" spans="2:15" x14ac:dyDescent="0.35">
      <c r="B50" s="612" t="s">
        <v>1007</v>
      </c>
      <c r="C50" s="518" t="str">
        <f t="shared" si="24"/>
        <v>Nutrilon Hypoallergeen 1 pdr</v>
      </c>
      <c r="D50" s="518">
        <f t="shared" si="12"/>
        <v>4.83</v>
      </c>
      <c r="E50" s="518">
        <f t="shared" si="13"/>
        <v>0.11</v>
      </c>
      <c r="F50" s="518">
        <f t="shared" si="14"/>
        <v>0.52500000000000002</v>
      </c>
      <c r="G50" s="518">
        <f t="shared" si="15"/>
        <v>0.24600000000000002</v>
      </c>
      <c r="H50" s="518">
        <f t="shared" si="16"/>
        <v>7.8695180000000003E-2</v>
      </c>
      <c r="I50" s="518">
        <f t="shared" si="17"/>
        <v>0.1358973</v>
      </c>
      <c r="J50" s="518">
        <f t="shared" si="18"/>
        <v>8.4410999999999986E-2</v>
      </c>
      <c r="K50" s="518">
        <f t="shared" si="19"/>
        <v>6.1349099999999997E-2</v>
      </c>
      <c r="L50" s="518">
        <f t="shared" si="20"/>
        <v>1.522217E-2</v>
      </c>
      <c r="M50" s="518">
        <f t="shared" si="21"/>
        <v>6.981E-4</v>
      </c>
      <c r="N50" s="518">
        <f t="shared" si="22"/>
        <v>3.52</v>
      </c>
      <c r="O50" s="518">
        <f t="shared" si="23"/>
        <v>8.518212E-2</v>
      </c>
    </row>
    <row r="51" spans="2:15" x14ac:dyDescent="0.35">
      <c r="B51" s="612" t="s">
        <v>1008</v>
      </c>
      <c r="C51" s="518" t="str">
        <f t="shared" si="24"/>
        <v>Neocate LCP</v>
      </c>
      <c r="D51" s="518">
        <f t="shared" si="12"/>
        <v>4.83</v>
      </c>
      <c r="E51" s="518">
        <f t="shared" si="13"/>
        <v>0.13</v>
      </c>
      <c r="F51" s="518">
        <f t="shared" si="14"/>
        <v>0.52500000000000002</v>
      </c>
      <c r="G51" s="518">
        <f t="shared" si="15"/>
        <v>0.245</v>
      </c>
      <c r="H51" s="518">
        <f t="shared" si="16"/>
        <v>8.2173419999999997E-2</v>
      </c>
      <c r="I51" s="518">
        <f t="shared" si="17"/>
        <v>0.13461524999999999</v>
      </c>
      <c r="J51" s="518">
        <f t="shared" si="18"/>
        <v>0.11827499999999999</v>
      </c>
      <c r="K51" s="518">
        <f t="shared" si="19"/>
        <v>0.11010548999999999</v>
      </c>
      <c r="L51" s="518">
        <f t="shared" si="20"/>
        <v>2.0981909999999999E-2</v>
      </c>
      <c r="M51" s="518">
        <f t="shared" si="21"/>
        <v>1.2977500000000001E-3</v>
      </c>
      <c r="N51" s="518">
        <f t="shared" si="22"/>
        <v>3.52</v>
      </c>
      <c r="O51" s="518">
        <f t="shared" si="23"/>
        <v>0.10887516</v>
      </c>
    </row>
    <row r="52" spans="2:15" x14ac:dyDescent="0.35">
      <c r="B52" s="612" t="s">
        <v>1009</v>
      </c>
      <c r="C52" s="518" t="str">
        <f t="shared" si="24"/>
        <v>Neocate Junior</v>
      </c>
      <c r="D52" s="518">
        <f t="shared" si="12"/>
        <v>4.75</v>
      </c>
      <c r="E52" s="518">
        <f t="shared" si="13"/>
        <v>0.13300000000000001</v>
      </c>
      <c r="F52" s="518">
        <f t="shared" si="14"/>
        <v>0.56000000000000005</v>
      </c>
      <c r="G52" s="518">
        <f t="shared" si="15"/>
        <v>0.22</v>
      </c>
      <c r="H52" s="518">
        <f t="shared" si="16"/>
        <v>0.1239123</v>
      </c>
      <c r="I52" s="518">
        <f t="shared" si="17"/>
        <v>0.13999986</v>
      </c>
      <c r="J52" s="518">
        <f t="shared" si="18"/>
        <v>0.106572</v>
      </c>
      <c r="K52" s="518">
        <f t="shared" si="19"/>
        <v>9.9773009999999995E-2</v>
      </c>
      <c r="L52" s="518">
        <f t="shared" si="20"/>
        <v>2.7358764999999997E-2</v>
      </c>
      <c r="M52" s="518">
        <f t="shared" si="21"/>
        <v>1.0203E-3</v>
      </c>
      <c r="N52" s="518">
        <f t="shared" si="22"/>
        <v>2.48</v>
      </c>
      <c r="O52" s="518">
        <f t="shared" si="23"/>
        <v>0.12326022</v>
      </c>
    </row>
    <row r="53" spans="2:15" x14ac:dyDescent="0.35">
      <c r="B53" s="629" t="s">
        <v>1118</v>
      </c>
      <c r="C53" s="629" t="s">
        <v>1062</v>
      </c>
      <c r="D53" s="518">
        <f t="shared" si="12"/>
        <v>4.84</v>
      </c>
      <c r="E53" s="518">
        <f t="shared" si="13"/>
        <v>9.6999999999999989E-2</v>
      </c>
      <c r="F53" s="518">
        <f t="shared" si="14"/>
        <v>0.53799999999999992</v>
      </c>
      <c r="G53" s="518">
        <f t="shared" si="15"/>
        <v>0.247</v>
      </c>
      <c r="H53" s="518">
        <f t="shared" si="16"/>
        <v>5.43475E-2</v>
      </c>
      <c r="I53" s="518">
        <f t="shared" si="17"/>
        <v>0.12846141</v>
      </c>
      <c r="J53" s="518">
        <f t="shared" si="18"/>
        <v>0.10408199999999999</v>
      </c>
      <c r="K53" s="518">
        <f t="shared" si="19"/>
        <v>7.6524929999999991E-2</v>
      </c>
      <c r="L53" s="518">
        <f t="shared" si="20"/>
        <v>1.522217E-2</v>
      </c>
      <c r="M53" s="518">
        <f t="shared" si="21"/>
        <v>6.981E-4</v>
      </c>
      <c r="N53" s="518">
        <f t="shared" si="22"/>
        <v>3.48</v>
      </c>
      <c r="O53" s="518">
        <f t="shared" si="23"/>
        <v>8.5746240000000001E-2</v>
      </c>
    </row>
    <row r="54" spans="2:15" x14ac:dyDescent="0.35">
      <c r="B54" s="629" t="s">
        <v>1063</v>
      </c>
      <c r="C54" s="629" t="s">
        <v>1063</v>
      </c>
      <c r="D54" s="518">
        <f t="shared" si="12"/>
        <v>3.18</v>
      </c>
      <c r="E54" s="518">
        <f t="shared" si="13"/>
        <v>0</v>
      </c>
      <c r="F54" s="518">
        <f t="shared" si="14"/>
        <v>0.66200000000000003</v>
      </c>
      <c r="G54" s="518">
        <f t="shared" si="15"/>
        <v>3.0000000000000001E-3</v>
      </c>
      <c r="H54" s="518">
        <f t="shared" si="16"/>
        <v>2.6086799999999999E-3</v>
      </c>
      <c r="I54" s="518">
        <f t="shared" si="17"/>
        <v>2.3333310000000003E-2</v>
      </c>
      <c r="J54" s="518">
        <f t="shared" si="18"/>
        <v>8.3415000000000003E-2</v>
      </c>
      <c r="K54" s="518">
        <f t="shared" si="19"/>
        <v>3.8746799999999997E-3</v>
      </c>
      <c r="L54" s="518">
        <f t="shared" si="20"/>
        <v>3.7438309999999995E-3</v>
      </c>
      <c r="M54" s="518">
        <f t="shared" si="21"/>
        <v>1.5751999999999999E-3</v>
      </c>
      <c r="N54" s="518">
        <f t="shared" si="22"/>
        <v>0</v>
      </c>
      <c r="O54" s="518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D43"/>
  <sheetViews>
    <sheetView zoomScale="85" zoomScaleNormal="85" workbookViewId="0">
      <pane ySplit="5" topLeftCell="A6" activePane="bottomLeft" state="frozen"/>
      <selection pane="bottomLeft" activeCell="D5" sqref="D5"/>
    </sheetView>
  </sheetViews>
  <sheetFormatPr defaultColWidth="9.1328125" defaultRowHeight="12.85" x14ac:dyDescent="0.35"/>
  <cols>
    <col min="1" max="1" width="3.73046875" style="531" customWidth="1"/>
    <col min="2" max="9" width="10.73046875" style="531" customWidth="1"/>
    <col min="10" max="11" width="2.1328125" style="531" customWidth="1"/>
    <col min="12" max="13" width="10.73046875" style="531" customWidth="1"/>
    <col min="14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328</v>
      </c>
      <c r="D2" s="253">
        <f ca="1">Var_AfspraakDatum</f>
        <v>42736</v>
      </c>
      <c r="E2" s="254"/>
      <c r="F2" s="252" t="s">
        <v>329</v>
      </c>
      <c r="G2" s="250"/>
      <c r="H2" s="255">
        <f>_Pat_OpnDatum</f>
        <v>42736</v>
      </c>
      <c r="I2" s="252" t="str">
        <f ca="1">"ICU-dag: "&amp;Var_AfspraakDatum-_Pat_OpnDatum+1</f>
        <v>ICU-dag: 1</v>
      </c>
      <c r="J2" s="258" t="str">
        <f>"Gewicht: "&amp;_Pat_Gewicht/10&amp;"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>Test, Test</v>
      </c>
      <c r="E3" s="257"/>
      <c r="F3" s="252" t="s">
        <v>336</v>
      </c>
      <c r="G3" s="250"/>
      <c r="H3" s="255">
        <f>__4_GebDatum</f>
        <v>42736</v>
      </c>
      <c r="J3" s="258" t="str">
        <f>"Lengte: "&amp;_Pat_Lengte&amp;"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371</v>
      </c>
      <c r="D4" s="258">
        <f>__0_PatNum</f>
        <v>123456</v>
      </c>
      <c r="E4" s="254"/>
      <c r="F4" s="252" t="s">
        <v>298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0 jaar en 0 maand(-en)</v>
      </c>
      <c r="I4" s="252"/>
      <c r="J4" s="252" t="str">
        <f>"Lichamelijk oppervlak: "&amp;ROUND(POWER(_Pat_Gewicht/10,0.425)*POWER(((_Pat_Lengte/100)*100),0.725)*0.007184,2)&amp;"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551</v>
      </c>
      <c r="D5" s="268" t="str">
        <f>__1_Bed</f>
        <v>Unit 1.2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0" customFormat="1" x14ac:dyDescent="0.35"/>
    <row r="7" spans="1:82" s="840" customFormat="1" x14ac:dyDescent="0.35"/>
    <row r="8" spans="1:82" ht="11.25" customHeight="1" x14ac:dyDescent="0.4">
      <c r="A8" s="593"/>
      <c r="B8" s="527" t="s">
        <v>159</v>
      </c>
      <c r="C8" s="528"/>
      <c r="D8" s="529" t="s">
        <v>769</v>
      </c>
      <c r="E8" s="528"/>
      <c r="F8" s="528"/>
      <c r="G8" s="526"/>
      <c r="H8" s="530"/>
      <c r="I8" s="526"/>
      <c r="J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767</v>
      </c>
      <c r="C10" s="533"/>
      <c r="D10" s="382" t="s">
        <v>477</v>
      </c>
      <c r="E10" s="533"/>
      <c r="F10" s="382" t="s">
        <v>478</v>
      </c>
      <c r="G10" s="533"/>
      <c r="H10" s="382" t="s">
        <v>160</v>
      </c>
      <c r="I10" s="533"/>
      <c r="J10" s="382"/>
      <c r="K10" s="533"/>
      <c r="L10" s="382" t="s">
        <v>18</v>
      </c>
      <c r="M10" s="533"/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</row>
    <row r="17" spans="2:13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</row>
    <row r="18" spans="2:13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</row>
    <row r="19" spans="2:13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</row>
    <row r="20" spans="2:13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</row>
    <row r="21" spans="2:13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</row>
    <row r="22" spans="2:13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</row>
    <row r="23" spans="2:13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</row>
    <row r="24" spans="2:13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</row>
    <row r="25" spans="2:13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</row>
    <row r="26" spans="2:13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</row>
    <row r="27" spans="2:13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</row>
    <row r="28" spans="2:13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</row>
    <row r="29" spans="2:13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</row>
    <row r="30" spans="2:13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</row>
    <row r="31" spans="2:13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</row>
    <row r="32" spans="2:13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</row>
    <row r="33" spans="2:13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</row>
    <row r="34" spans="2:13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</row>
    <row r="35" spans="2:13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</row>
    <row r="36" spans="2:13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</row>
    <row r="37" spans="2:13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</row>
    <row r="38" spans="2:13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</row>
    <row r="39" spans="2:13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</row>
    <row r="40" spans="2:13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</row>
    <row r="41" spans="2:13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</row>
    <row r="42" spans="2:13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</row>
    <row r="43" spans="2:13" ht="24.8" customHeight="1" x14ac:dyDescent="0.35">
      <c r="B43" s="536" t="s">
        <v>315</v>
      </c>
      <c r="C43" s="531" t="str">
        <f>IF(_Ped_Lab_Opm=0,"",_Ped_Lab_Opm)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19</xdr:row>
                    <xdr:rowOff>0</xdr:rowOff>
                  </from>
                  <to>
                    <xdr:col>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17</xdr:row>
                    <xdr:rowOff>0</xdr:rowOff>
                  </from>
                  <to>
                    <xdr:col>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19</xdr:row>
                    <xdr:rowOff>0</xdr:rowOff>
                  </from>
                  <to>
                    <xdr:col>6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17</xdr:row>
                    <xdr:rowOff>0</xdr:rowOff>
                  </from>
                  <to>
                    <xdr:col>6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19</xdr:row>
                    <xdr:rowOff>0</xdr:rowOff>
                  </from>
                  <to>
                    <xdr:col>8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17</xdr:row>
                    <xdr:rowOff>0</xdr:rowOff>
                  </from>
                  <to>
                    <xdr:col>8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11</xdr:col>
                    <xdr:colOff>38299</xdr:colOff>
                    <xdr:row>19</xdr:row>
                    <xdr:rowOff>0</xdr:rowOff>
                  </from>
                  <to>
                    <xdr:col>12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11</xdr:col>
                    <xdr:colOff>38299</xdr:colOff>
                    <xdr:row>17</xdr:row>
                    <xdr:rowOff>0</xdr:rowOff>
                  </from>
                  <to>
                    <xdr:col>12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19</xdr:row>
                    <xdr:rowOff>0</xdr:rowOff>
                  </from>
                  <to>
                    <xdr:col>4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17</xdr:row>
                    <xdr:rowOff>0</xdr:rowOff>
                  </from>
                  <to>
                    <xdr:col>4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19150</xdr:rowOff>
                  </from>
                  <to>
                    <xdr:col>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19150</xdr:rowOff>
                  </from>
                  <to>
                    <xdr:col>6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19150</xdr:rowOff>
                  </from>
                  <to>
                    <xdr:col>8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19150</xdr:rowOff>
                  </from>
                  <to>
                    <xdr:col>12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19150</xdr:rowOff>
                  </from>
                  <to>
                    <xdr:col>4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23</xdr:row>
                    <xdr:rowOff>19150</xdr:rowOff>
                  </from>
                  <to>
                    <xdr:col>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23</xdr:row>
                    <xdr:rowOff>19150</xdr:rowOff>
                  </from>
                  <to>
                    <xdr:col>6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23</xdr:row>
                    <xdr:rowOff>19150</xdr:rowOff>
                  </from>
                  <to>
                    <xdr:col>8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23</xdr:row>
                    <xdr:rowOff>19150</xdr:rowOff>
                  </from>
                  <to>
                    <xdr:col>12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23</xdr:row>
                    <xdr:rowOff>19150</xdr:rowOff>
                  </from>
                  <to>
                    <xdr:col>4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47874</xdr:colOff>
                    <xdr:row>37</xdr:row>
                    <xdr:rowOff>19150</xdr:rowOff>
                  </from>
                  <to>
                    <xdr:col>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47874</xdr:colOff>
                    <xdr:row>37</xdr:row>
                    <xdr:rowOff>19150</xdr:rowOff>
                  </from>
                  <to>
                    <xdr:col>6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47874</xdr:colOff>
                    <xdr:row>37</xdr:row>
                    <xdr:rowOff>19150</xdr:rowOff>
                  </from>
                  <to>
                    <xdr:col>8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11</xdr:col>
                    <xdr:colOff>47874</xdr:colOff>
                    <xdr:row>37</xdr:row>
                    <xdr:rowOff>19150</xdr:rowOff>
                  </from>
                  <to>
                    <xdr:col>12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47874</xdr:colOff>
                    <xdr:row>37</xdr:row>
                    <xdr:rowOff>19150</xdr:rowOff>
                  </from>
                  <to>
                    <xdr:col>4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5" r:id="rId160" name="Spinner 217">
              <controlPr defaultSize="0" autoPict="0">
                <anchor moveWithCells="1" sizeWithCells="1">
                  <from>
                    <xdr:col>10</xdr:col>
                    <xdr:colOff>143623</xdr:colOff>
                    <xdr:row>2</xdr:row>
                    <xdr:rowOff>57449</xdr:rowOff>
                  </from>
                  <to>
                    <xdr:col>10</xdr:col>
                    <xdr:colOff>143623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328125" defaultRowHeight="12.85" x14ac:dyDescent="0.35"/>
  <cols>
    <col min="1" max="16384" width="9.1328125" style="271"/>
  </cols>
  <sheetData>
    <row r="1" spans="1:16" x14ac:dyDescent="0.35">
      <c r="A1" s="576"/>
    </row>
    <row r="3" spans="1:16" x14ac:dyDescent="0.35">
      <c r="A3" s="287" t="s">
        <v>766</v>
      </c>
      <c r="B3" s="271" t="s">
        <v>767</v>
      </c>
      <c r="D3" s="287" t="s">
        <v>477</v>
      </c>
      <c r="E3" s="271" t="b">
        <v>1</v>
      </c>
      <c r="F3" s="287" t="s">
        <v>478</v>
      </c>
      <c r="G3" s="271" t="b">
        <v>1</v>
      </c>
      <c r="H3" s="287" t="s">
        <v>160</v>
      </c>
      <c r="I3" s="271" t="b">
        <v>1</v>
      </c>
      <c r="K3" s="287" t="s">
        <v>768</v>
      </c>
      <c r="M3" s="287"/>
      <c r="O3" s="287"/>
    </row>
    <row r="4" spans="1:16" x14ac:dyDescent="0.35">
      <c r="B4" s="271" t="str">
        <f>IF(C4,"A","")</f>
        <v/>
      </c>
      <c r="C4" s="861"/>
      <c r="D4" s="271" t="str">
        <f>IF(E4,"A","")</f>
        <v/>
      </c>
      <c r="E4" s="861"/>
      <c r="F4" s="271" t="str">
        <f>IF(G4,"A","")</f>
        <v/>
      </c>
      <c r="G4" s="861"/>
      <c r="H4" s="271" t="str">
        <f>IF(I4,"A","")</f>
        <v/>
      </c>
      <c r="I4" s="861"/>
      <c r="K4" s="271" t="str">
        <f>IF(L4,"A","")</f>
        <v/>
      </c>
      <c r="L4" s="861"/>
      <c r="N4" s="576"/>
      <c r="P4" s="576"/>
    </row>
    <row r="5" spans="1:16" x14ac:dyDescent="0.35">
      <c r="B5" s="271" t="str">
        <f>IF(C5,"Na K","")</f>
        <v/>
      </c>
      <c r="C5" s="861"/>
      <c r="D5" s="271" t="str">
        <f>IF(E5,"Na K","")</f>
        <v/>
      </c>
      <c r="E5" s="861"/>
      <c r="F5" s="271" t="str">
        <f>IF(G5,"Na K","")</f>
        <v/>
      </c>
      <c r="G5" s="861"/>
      <c r="H5" s="271" t="str">
        <f>IF(I5,"Na K","")</f>
        <v/>
      </c>
      <c r="I5" s="861"/>
      <c r="K5" s="271" t="str">
        <f>IF(L5,"Na K","")</f>
        <v/>
      </c>
      <c r="L5" s="861"/>
      <c r="N5" s="576"/>
      <c r="P5" s="576"/>
    </row>
    <row r="6" spans="1:16" x14ac:dyDescent="0.35">
      <c r="A6" s="576"/>
      <c r="B6" s="271" t="str">
        <f>IF(C6,"Cl","")</f>
        <v/>
      </c>
      <c r="C6" s="861"/>
      <c r="D6" s="271" t="str">
        <f>IF(E6,"Cl","")</f>
        <v/>
      </c>
      <c r="E6" s="861"/>
      <c r="F6" s="271" t="str">
        <f>IF(G6,"Cl","")</f>
        <v/>
      </c>
      <c r="G6" s="861"/>
      <c r="H6" s="271" t="str">
        <f>IF(I6,"Cl","")</f>
        <v/>
      </c>
      <c r="I6" s="861"/>
      <c r="K6" s="271" t="str">
        <f>IF(L6,"Cl","")</f>
        <v/>
      </c>
      <c r="L6" s="861"/>
      <c r="N6" s="576"/>
      <c r="P6" s="576"/>
    </row>
    <row r="7" spans="1:16" x14ac:dyDescent="0.35">
      <c r="B7" s="271" t="str">
        <f>IF(C7,"Gluc","")</f>
        <v/>
      </c>
      <c r="C7" s="861"/>
      <c r="D7" s="271" t="str">
        <f>IF(E7,"Gluc","")</f>
        <v/>
      </c>
      <c r="E7" s="861"/>
      <c r="F7" s="271" t="str">
        <f>IF(G7,"Gluc","")</f>
        <v/>
      </c>
      <c r="G7" s="861"/>
      <c r="H7" s="271" t="str">
        <f>IF(I7,"Gluc","")</f>
        <v/>
      </c>
      <c r="I7" s="861"/>
      <c r="K7" s="271" t="str">
        <f>IF(L7,"Gluc","")</f>
        <v/>
      </c>
      <c r="L7" s="861"/>
      <c r="N7" s="576"/>
      <c r="P7" s="576"/>
    </row>
    <row r="8" spans="1:16" x14ac:dyDescent="0.35">
      <c r="B8" s="271" t="str">
        <f>IF(C8,"Hb Ht","")</f>
        <v/>
      </c>
      <c r="C8" s="861"/>
      <c r="D8" s="271" t="str">
        <f>IF(E8,"Hb Ht","")</f>
        <v/>
      </c>
      <c r="E8" s="861"/>
      <c r="F8" s="271" t="str">
        <f>IF(G8,"Hb Ht","")</f>
        <v/>
      </c>
      <c r="G8" s="861"/>
      <c r="H8" s="271" t="str">
        <f>IF(I8,"Hb Ht","")</f>
        <v/>
      </c>
      <c r="I8" s="861"/>
      <c r="K8" s="271" t="str">
        <f>IF(L8,"Hb Ht","")</f>
        <v/>
      </c>
      <c r="L8" s="861"/>
      <c r="N8" s="576"/>
      <c r="P8" s="576"/>
    </row>
    <row r="9" spans="1:16" x14ac:dyDescent="0.35">
      <c r="B9" s="271" t="str">
        <f>IF(C9,"L","")</f>
        <v/>
      </c>
      <c r="C9" s="861"/>
      <c r="D9" s="271" t="str">
        <f>IF(E9,"L","")</f>
        <v/>
      </c>
      <c r="E9" s="861"/>
      <c r="F9" s="271" t="str">
        <f>IF(G9,"L","")</f>
        <v/>
      </c>
      <c r="G9" s="861"/>
      <c r="H9" s="271" t="str">
        <f>IF(I9,"L","")</f>
        <v/>
      </c>
      <c r="I9" s="861"/>
      <c r="K9" s="271" t="str">
        <f>IF(L9,"L","")</f>
        <v/>
      </c>
      <c r="L9" s="861"/>
      <c r="N9" s="576"/>
      <c r="P9" s="576"/>
    </row>
    <row r="10" spans="1:16" x14ac:dyDescent="0.35">
      <c r="B10" s="271" t="str">
        <f>IF(C10,"T","")</f>
        <v/>
      </c>
      <c r="C10" s="861"/>
      <c r="D10" s="271" t="str">
        <f>IF(E10,"T","")</f>
        <v/>
      </c>
      <c r="E10" s="861"/>
      <c r="F10" s="271" t="str">
        <f>IF(G10,"T","")</f>
        <v/>
      </c>
      <c r="G10" s="861"/>
      <c r="H10" s="271" t="str">
        <f>IF(I10,"T","")</f>
        <v/>
      </c>
      <c r="I10" s="861"/>
      <c r="K10" s="271" t="str">
        <f>IF(L10,"T","")</f>
        <v/>
      </c>
      <c r="L10" s="861"/>
      <c r="N10" s="576"/>
      <c r="P10" s="576"/>
    </row>
    <row r="11" spans="1:16" x14ac:dyDescent="0.35">
      <c r="B11" s="271" t="str">
        <f>IF(C11,"CRP","")</f>
        <v/>
      </c>
      <c r="C11" s="861"/>
      <c r="D11" s="271" t="str">
        <f>IF(E11,"CRP","")</f>
        <v/>
      </c>
      <c r="E11" s="861"/>
      <c r="F11" s="271" t="str">
        <f>IF(G11,"CRP","")</f>
        <v/>
      </c>
      <c r="G11" s="861"/>
      <c r="H11" s="271" t="str">
        <f>IF(I11,"CRP","")</f>
        <v/>
      </c>
      <c r="I11" s="861"/>
      <c r="K11" s="271" t="str">
        <f>IF(L11,"CRP","")</f>
        <v/>
      </c>
      <c r="L11" s="861"/>
      <c r="N11" s="576"/>
      <c r="P11" s="576"/>
    </row>
    <row r="12" spans="1:16" x14ac:dyDescent="0.35">
      <c r="B12" s="271" t="str">
        <f>IF(C12,"Lac","")</f>
        <v/>
      </c>
      <c r="C12" s="861"/>
      <c r="D12" s="271" t="str">
        <f>IF(E12,"Lac","")</f>
        <v/>
      </c>
      <c r="E12" s="861"/>
      <c r="F12" s="271" t="str">
        <f>IF(G12,"Lac","")</f>
        <v/>
      </c>
      <c r="G12" s="861"/>
      <c r="H12" s="271" t="str">
        <f>IF(I12,"Lac","")</f>
        <v/>
      </c>
      <c r="I12" s="861"/>
      <c r="K12" s="271" t="str">
        <f>IF(L12,"Lac","")</f>
        <v/>
      </c>
      <c r="L12" s="861"/>
      <c r="N12" s="576"/>
      <c r="P12" s="576"/>
    </row>
    <row r="13" spans="1:16" x14ac:dyDescent="0.35">
      <c r="B13" s="271" t="str">
        <f>IF(C13,"Ur","")</f>
        <v/>
      </c>
      <c r="C13" s="861"/>
      <c r="D13" s="271" t="str">
        <f>IF(E13,"Ur","")</f>
        <v/>
      </c>
      <c r="E13" s="861"/>
      <c r="F13" s="271" t="str">
        <f>IF(G13,"Ur","")</f>
        <v/>
      </c>
      <c r="G13" s="861"/>
      <c r="H13" s="271" t="str">
        <f>IF(I13,"Ur","")</f>
        <v/>
      </c>
      <c r="I13" s="861"/>
      <c r="K13" s="271" t="str">
        <f>IF(L13,"Ur","")</f>
        <v/>
      </c>
      <c r="L13" s="861"/>
      <c r="N13" s="576"/>
      <c r="P13" s="576"/>
    </row>
    <row r="14" spans="1:16" x14ac:dyDescent="0.35">
      <c r="B14" s="271" t="str">
        <f>IF(C14,"Kr","")</f>
        <v/>
      </c>
      <c r="C14" s="861"/>
      <c r="D14" s="271" t="str">
        <f>IF(E14,"Kr","")</f>
        <v/>
      </c>
      <c r="E14" s="861"/>
      <c r="F14" s="271" t="str">
        <f>IF(G14,"Kr","")</f>
        <v/>
      </c>
      <c r="G14" s="861"/>
      <c r="H14" s="271" t="str">
        <f>IF(I14,"Kr","")</f>
        <v/>
      </c>
      <c r="I14" s="861"/>
      <c r="K14" s="271" t="str">
        <f>IF(L14,"Kr","")</f>
        <v/>
      </c>
      <c r="L14" s="861"/>
      <c r="N14" s="576"/>
      <c r="P14" s="576"/>
    </row>
    <row r="15" spans="1:16" x14ac:dyDescent="0.35">
      <c r="B15" s="271" t="str">
        <f>IF(C15,"Ca++","")</f>
        <v/>
      </c>
      <c r="C15" s="861"/>
      <c r="D15" s="271" t="str">
        <f>IF(E15,"Ca++","")</f>
        <v/>
      </c>
      <c r="E15" s="861"/>
      <c r="F15" s="271" t="str">
        <f>IF(G15,"Ca++","")</f>
        <v/>
      </c>
      <c r="G15" s="861"/>
      <c r="H15" s="271" t="str">
        <f>IF(I15,"Ca++","")</f>
        <v/>
      </c>
      <c r="I15" s="861"/>
      <c r="K15" s="271" t="str">
        <f>IF(L15,"Ca++","")</f>
        <v/>
      </c>
      <c r="L15" s="861"/>
      <c r="N15" s="576"/>
      <c r="P15" s="576"/>
    </row>
    <row r="16" spans="1:16" x14ac:dyDescent="0.35">
      <c r="B16" s="271" t="str">
        <f>IF(C16,"Mg++","")</f>
        <v/>
      </c>
      <c r="C16" s="861"/>
      <c r="D16" s="271" t="str">
        <f>IF(E16,"Mg++","")</f>
        <v/>
      </c>
      <c r="E16" s="861"/>
      <c r="F16" s="271" t="str">
        <f>IF(G16,"Mg++","")</f>
        <v/>
      </c>
      <c r="G16" s="861"/>
      <c r="H16" s="271" t="str">
        <f>IF(I16,"Mg++","")</f>
        <v/>
      </c>
      <c r="I16" s="861"/>
      <c r="K16" s="271" t="str">
        <f>IF(L16,"Mg++","")</f>
        <v/>
      </c>
      <c r="L16" s="861"/>
      <c r="N16" s="576"/>
      <c r="P16" s="576"/>
    </row>
    <row r="17" spans="2:16" x14ac:dyDescent="0.35">
      <c r="B17" s="271" t="str">
        <f>IF(C17,"Fosfaat","")</f>
        <v/>
      </c>
      <c r="C17" s="861"/>
      <c r="D17" s="271" t="str">
        <f>IF(E17,"Fosfaat","")</f>
        <v/>
      </c>
      <c r="E17" s="861"/>
      <c r="F17" s="271" t="str">
        <f>IF(G17,"Fosfaat","")</f>
        <v/>
      </c>
      <c r="G17" s="861"/>
      <c r="H17" s="271" t="str">
        <f>IF(I17,"Fosfaat","")</f>
        <v/>
      </c>
      <c r="I17" s="861"/>
      <c r="K17" s="271" t="str">
        <f>IF(L17,"Fosfaat","")</f>
        <v/>
      </c>
      <c r="L17" s="861"/>
      <c r="N17" s="576"/>
      <c r="P17" s="576"/>
    </row>
    <row r="18" spans="2:16" x14ac:dyDescent="0.35">
      <c r="B18" s="271" t="str">
        <f>IF(C18,"Alb","")</f>
        <v/>
      </c>
      <c r="C18" s="861"/>
      <c r="D18" s="271" t="str">
        <f>IF(E18,"Alb","")</f>
        <v/>
      </c>
      <c r="E18" s="861"/>
      <c r="F18" s="271" t="str">
        <f>IF(G18,"Alb","")</f>
        <v/>
      </c>
      <c r="G18" s="861"/>
      <c r="H18" s="271" t="str">
        <f>IF(I18,"Alb","")</f>
        <v/>
      </c>
      <c r="I18" s="861"/>
      <c r="K18" s="271" t="str">
        <f>IF(L18,"Alb","")</f>
        <v/>
      </c>
      <c r="L18" s="861"/>
      <c r="N18" s="576"/>
      <c r="P18" s="576"/>
    </row>
    <row r="19" spans="2:16" x14ac:dyDescent="0.35">
      <c r="B19" s="271" t="str">
        <f>IF(C19,"Ca","")</f>
        <v/>
      </c>
      <c r="C19" s="861"/>
      <c r="D19" s="271" t="str">
        <f>IF(E19,"Ca","")</f>
        <v/>
      </c>
      <c r="E19" s="861"/>
      <c r="F19" s="271" t="str">
        <f>IF(G19,"Ca","")</f>
        <v/>
      </c>
      <c r="G19" s="861"/>
      <c r="H19" s="271" t="str">
        <f>IF(I19,"Ca","")</f>
        <v/>
      </c>
      <c r="I19" s="861"/>
      <c r="K19" s="271" t="str">
        <f>IF(L19,"Ca","")</f>
        <v/>
      </c>
      <c r="L19" s="861"/>
      <c r="N19" s="576"/>
      <c r="P19" s="576"/>
    </row>
    <row r="20" spans="2:16" x14ac:dyDescent="0.35">
      <c r="B20" s="271" t="str">
        <f>IF(C20,"ASAT","")</f>
        <v/>
      </c>
      <c r="C20" s="861"/>
      <c r="D20" s="271" t="str">
        <f>IF(E20,"ASAT","")</f>
        <v/>
      </c>
      <c r="E20" s="861"/>
      <c r="F20" s="271" t="str">
        <f>IF(G20,"ASAT","")</f>
        <v/>
      </c>
      <c r="G20" s="861"/>
      <c r="H20" s="271" t="str">
        <f>IF(I20,"ASAT","")</f>
        <v/>
      </c>
      <c r="I20" s="861"/>
      <c r="K20" s="271" t="str">
        <f>IF(L20,"ASAT","")</f>
        <v/>
      </c>
      <c r="L20" s="861"/>
      <c r="N20" s="576"/>
      <c r="P20" s="576"/>
    </row>
    <row r="21" spans="2:16" x14ac:dyDescent="0.35">
      <c r="B21" s="271" t="str">
        <f>IF(C21,"ALAT","")</f>
        <v/>
      </c>
      <c r="C21" s="861"/>
      <c r="D21" s="271" t="str">
        <f>IF(E21,"ALAT","")</f>
        <v/>
      </c>
      <c r="E21" s="861"/>
      <c r="F21" s="271" t="str">
        <f>IF(G21,"ALAT","")</f>
        <v/>
      </c>
      <c r="G21" s="861"/>
      <c r="H21" s="271" t="str">
        <f>IF(I21,"ALAT","")</f>
        <v/>
      </c>
      <c r="I21" s="861"/>
      <c r="K21" s="271" t="str">
        <f>IF(L21,"Alat","")</f>
        <v/>
      </c>
      <c r="L21" s="861"/>
      <c r="N21" s="576"/>
      <c r="P21" s="576"/>
    </row>
    <row r="22" spans="2:16" x14ac:dyDescent="0.35">
      <c r="B22" s="271" t="str">
        <f>IF(C22,"GGT","")</f>
        <v/>
      </c>
      <c r="C22" s="861"/>
      <c r="D22" s="271" t="str">
        <f>IF(E22,"GGT","")</f>
        <v/>
      </c>
      <c r="E22" s="861"/>
      <c r="F22" s="271" t="str">
        <f>IF(G22,"GGT","")</f>
        <v/>
      </c>
      <c r="G22" s="861"/>
      <c r="H22" s="271" t="str">
        <f>IF(I22,"GGT","")</f>
        <v/>
      </c>
      <c r="I22" s="861"/>
      <c r="K22" s="271" t="str">
        <f>IF(L22,"GGT","")</f>
        <v/>
      </c>
      <c r="L22" s="861"/>
      <c r="N22" s="576"/>
      <c r="P22" s="576"/>
    </row>
    <row r="23" spans="2:16" x14ac:dyDescent="0.35">
      <c r="B23" s="271" t="str">
        <f>IF(C23,"AF","")</f>
        <v/>
      </c>
      <c r="C23" s="861"/>
      <c r="D23" s="271" t="str">
        <f>IF(E23,"AF","")</f>
        <v/>
      </c>
      <c r="E23" s="861"/>
      <c r="F23" s="271" t="str">
        <f>IF(G23,"AF","")</f>
        <v/>
      </c>
      <c r="G23" s="861"/>
      <c r="H23" s="271" t="str">
        <f>IF(I23,"AF","")</f>
        <v/>
      </c>
      <c r="I23" s="861"/>
      <c r="K23" s="271" t="str">
        <f>IF(L23,"AF","")</f>
        <v/>
      </c>
      <c r="L23" s="861"/>
      <c r="N23" s="576"/>
      <c r="P23" s="576"/>
    </row>
    <row r="24" spans="2:16" x14ac:dyDescent="0.35">
      <c r="B24" s="271" t="str">
        <f>IF(C24,"LDH","")</f>
        <v/>
      </c>
      <c r="C24" s="861"/>
      <c r="D24" s="271" t="str">
        <f>IF(E24,"LDH","")</f>
        <v/>
      </c>
      <c r="E24" s="861"/>
      <c r="F24" s="271" t="str">
        <f>IF(G24,"LDH","")</f>
        <v/>
      </c>
      <c r="G24" s="861"/>
      <c r="H24" s="271" t="str">
        <f>IF(I24,"LDH","")</f>
        <v/>
      </c>
      <c r="I24" s="861"/>
      <c r="K24" s="271" t="str">
        <f>IF(L24,"LDH","")</f>
        <v/>
      </c>
      <c r="L24" s="861"/>
      <c r="N24" s="576"/>
      <c r="P24" s="576"/>
    </row>
    <row r="25" spans="2:16" x14ac:dyDescent="0.35">
      <c r="B25" s="271" t="str">
        <f>IF(C25,"Bili","")</f>
        <v/>
      </c>
      <c r="C25" s="861"/>
      <c r="D25" s="271" t="str">
        <f>IF(E25,"Bili","")</f>
        <v/>
      </c>
      <c r="E25" s="861"/>
      <c r="F25" s="271" t="str">
        <f>IF(G25,"Bili","")</f>
        <v/>
      </c>
      <c r="G25" s="861"/>
      <c r="H25" s="271" t="str">
        <f>IF(I25,"Bili","")</f>
        <v/>
      </c>
      <c r="I25" s="861"/>
      <c r="K25" s="271" t="str">
        <f>IF(L25,"Blil","")</f>
        <v/>
      </c>
      <c r="L25" s="861"/>
      <c r="N25" s="576"/>
      <c r="P25" s="576"/>
    </row>
    <row r="26" spans="2:16" x14ac:dyDescent="0.35">
      <c r="B26" s="271" t="str">
        <f>IF(C26,"CK","")</f>
        <v/>
      </c>
      <c r="C26" s="861"/>
      <c r="D26" s="271" t="str">
        <f>IF(E26,"CK","")</f>
        <v/>
      </c>
      <c r="E26" s="861"/>
      <c r="F26" s="271" t="str">
        <f>IF(G26,"CK","")</f>
        <v/>
      </c>
      <c r="G26" s="861"/>
      <c r="H26" s="271" t="str">
        <f>IF(I26,"CK","")</f>
        <v/>
      </c>
      <c r="I26" s="861"/>
      <c r="K26" s="271" t="str">
        <f>IF(L26,"CK","")</f>
        <v/>
      </c>
      <c r="L26" s="861"/>
      <c r="N26" s="576"/>
      <c r="P26" s="576"/>
    </row>
    <row r="27" spans="2:16" x14ac:dyDescent="0.35">
      <c r="B27" s="271" t="str">
        <f>IF(C27,"TG","")</f>
        <v/>
      </c>
      <c r="C27" s="861"/>
      <c r="D27" s="271" t="str">
        <f>IF(E27,"TG","")</f>
        <v/>
      </c>
      <c r="E27" s="861"/>
      <c r="F27" s="271" t="str">
        <f>IF(G27,"TG","")</f>
        <v/>
      </c>
      <c r="G27" s="861"/>
      <c r="H27" s="271" t="str">
        <f>IF(I27,"TG","")</f>
        <v/>
      </c>
      <c r="I27" s="861"/>
      <c r="K27" s="271" t="str">
        <f>IF(L27,"TG","")</f>
        <v/>
      </c>
      <c r="L27" s="861"/>
      <c r="N27" s="576"/>
      <c r="P27" s="576"/>
    </row>
    <row r="28" spans="2:16" x14ac:dyDescent="0.35">
      <c r="B28" s="271" t="str">
        <f>IF(C28,"BG","")</f>
        <v/>
      </c>
      <c r="C28" s="861"/>
      <c r="D28" s="271" t="str">
        <f>IF(E28,"BG","")</f>
        <v/>
      </c>
      <c r="E28" s="861"/>
      <c r="F28" s="271" t="str">
        <f>IF(G28,"BG","")</f>
        <v/>
      </c>
      <c r="G28" s="861"/>
      <c r="H28" s="271" t="str">
        <f>IF(I28,"BG","")</f>
        <v/>
      </c>
      <c r="I28" s="861"/>
      <c r="K28" s="271" t="str">
        <f>IF(L28,"BG","")</f>
        <v/>
      </c>
      <c r="L28" s="861"/>
      <c r="N28" s="576"/>
      <c r="P28" s="576"/>
    </row>
    <row r="29" spans="2:16" x14ac:dyDescent="0.35">
      <c r="B29" s="271" t="str">
        <f>IF(C29,"PT","")</f>
        <v/>
      </c>
      <c r="C29" s="861"/>
      <c r="D29" s="271" t="str">
        <f>IF(E29,"PT","")</f>
        <v/>
      </c>
      <c r="E29" s="861"/>
      <c r="F29" s="271" t="str">
        <f>IF(G29,"PT","")</f>
        <v/>
      </c>
      <c r="G29" s="861"/>
      <c r="H29" s="271" t="str">
        <f>IF(I29,"PT","")</f>
        <v/>
      </c>
      <c r="I29" s="861"/>
      <c r="K29" s="271" t="str">
        <f>IF(L29,"PT","")</f>
        <v/>
      </c>
      <c r="L29" s="861"/>
      <c r="N29" s="576"/>
      <c r="P29" s="576"/>
    </row>
    <row r="30" spans="2:16" x14ac:dyDescent="0.35">
      <c r="B30" s="271" t="str">
        <f>IF(C30,"APTT","")</f>
        <v/>
      </c>
      <c r="C30" s="861"/>
      <c r="D30" s="271" t="str">
        <f>IF(E30,"APTT","")</f>
        <v/>
      </c>
      <c r="E30" s="861"/>
      <c r="F30" s="271" t="str">
        <f>IF(G30,"APTT","")</f>
        <v/>
      </c>
      <c r="G30" s="861"/>
      <c r="H30" s="271" t="str">
        <f>IF(I30,"APTT","")</f>
        <v/>
      </c>
      <c r="I30" s="861"/>
      <c r="K30" s="271" t="str">
        <f>IF(L30,"APTT","")</f>
        <v/>
      </c>
      <c r="L30" s="861"/>
      <c r="N30" s="576"/>
      <c r="P30" s="576"/>
    </row>
    <row r="31" spans="2:16" x14ac:dyDescent="0.35">
      <c r="B31" s="271" t="str">
        <f>IF(C31,"d-dimeren","")</f>
        <v/>
      </c>
      <c r="C31" s="861"/>
      <c r="D31" s="271" t="str">
        <f>IF(E31,"d-dimeren","")</f>
        <v/>
      </c>
      <c r="E31" s="861"/>
      <c r="F31" s="271" t="str">
        <f>IF(G31,"d-dimeren","")</f>
        <v/>
      </c>
      <c r="G31" s="861"/>
      <c r="H31" s="271" t="str">
        <f>IF(I31,"d-dimeren","")</f>
        <v/>
      </c>
      <c r="I31" s="861"/>
      <c r="K31" s="271" t="str">
        <f>IF(L31,"d-dimeren","")</f>
        <v/>
      </c>
      <c r="L31" s="861"/>
      <c r="N31" s="576"/>
      <c r="P31" s="576"/>
    </row>
    <row r="32" spans="2:16" x14ac:dyDescent="0.35">
      <c r="B32" s="271" t="str">
        <f>IF(C32,"INR","")</f>
        <v/>
      </c>
      <c r="C32" s="861"/>
      <c r="D32" s="271" t="str">
        <f>IF(E32,"INR","")</f>
        <v/>
      </c>
      <c r="E32" s="861"/>
      <c r="F32" s="271" t="str">
        <f t="shared" ref="F32" si="0">IF(G32,"INR","")</f>
        <v/>
      </c>
      <c r="G32" s="861"/>
      <c r="H32" s="271" t="str">
        <f t="shared" ref="H32" si="1">IF(I32,"INR","")</f>
        <v/>
      </c>
      <c r="I32" s="861"/>
      <c r="K32" s="271" t="str">
        <f t="shared" ref="K32:K35" si="2">IF(L32,"INR","")</f>
        <v/>
      </c>
      <c r="L32" s="861"/>
      <c r="N32" s="576"/>
      <c r="P32" s="576"/>
    </row>
    <row r="33" spans="2:16" x14ac:dyDescent="0.35">
      <c r="B33" s="271" t="str">
        <f>IF(C33,"Hep-ratio","")</f>
        <v/>
      </c>
      <c r="C33" s="861"/>
      <c r="D33" s="271" t="str">
        <f>IF(E33,"Hep-ratio","")</f>
        <v/>
      </c>
      <c r="E33" s="861"/>
      <c r="F33" s="271" t="str">
        <f>IF(G33,"Hep-ratio","")</f>
        <v/>
      </c>
      <c r="G33" s="861"/>
      <c r="H33" s="271" t="str">
        <f>IF(I33,"Hep-ratio","")</f>
        <v/>
      </c>
      <c r="I33" s="861"/>
      <c r="K33" s="271" t="str">
        <f>IF(L33,"Hep-ratio","")</f>
        <v/>
      </c>
      <c r="L33" s="861"/>
      <c r="N33" s="576"/>
      <c r="P33" s="576"/>
    </row>
    <row r="34" spans="2:16" x14ac:dyDescent="0.35">
      <c r="B34" s="271" t="str">
        <f>IF(C34,"BNP","")</f>
        <v/>
      </c>
      <c r="C34" s="861"/>
      <c r="D34" s="271" t="str">
        <f>IF(E34,"BNP","")</f>
        <v/>
      </c>
      <c r="E34" s="861"/>
      <c r="F34" s="271" t="str">
        <f>IF(G34,"BNP","")</f>
        <v/>
      </c>
      <c r="G34" s="861"/>
      <c r="H34" s="271" t="str">
        <f>IF(I34,"BNP","")</f>
        <v/>
      </c>
      <c r="I34" s="861"/>
      <c r="K34" s="271" t="str">
        <f>IF(L34,"BNP","")</f>
        <v/>
      </c>
      <c r="L34" s="861"/>
      <c r="N34" s="576"/>
      <c r="P34" s="576"/>
    </row>
    <row r="35" spans="2:16" x14ac:dyDescent="0.35">
      <c r="B35" s="271" t="str">
        <f>IF(C35,"ACT","")</f>
        <v/>
      </c>
      <c r="C35" s="861"/>
      <c r="G35" s="862"/>
      <c r="K35" s="271" t="str">
        <f t="shared" si="2"/>
        <v/>
      </c>
    </row>
  </sheetData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Exta">
    <tabColor rgb="FF7030A0"/>
  </sheetPr>
  <dimension ref="A1:Q77"/>
  <sheetViews>
    <sheetView workbookViewId="0">
      <pane ySplit="4" topLeftCell="A5" activePane="bottomLeft" state="frozen"/>
      <selection pane="bottomLeft" activeCell="J3" sqref="J3"/>
    </sheetView>
  </sheetViews>
  <sheetFormatPr defaultColWidth="9.1328125" defaultRowHeight="12.85" x14ac:dyDescent="0.35"/>
  <cols>
    <col min="1" max="1" width="5.3984375" style="557" customWidth="1"/>
    <col min="2" max="2" width="25" style="557" customWidth="1"/>
    <col min="3" max="3" width="16.265625" style="557" customWidth="1"/>
    <col min="4" max="4" width="16.73046875" style="557" customWidth="1"/>
    <col min="5" max="5" width="15" style="557" bestFit="1" customWidth="1"/>
    <col min="6" max="6" width="21.86328125" style="557" bestFit="1" customWidth="1"/>
    <col min="7" max="7" width="21.59765625" style="557" customWidth="1"/>
    <col min="8" max="8" width="11.59765625" style="557" customWidth="1"/>
    <col min="9" max="9" width="27" style="557" customWidth="1"/>
    <col min="10" max="10" width="15.59765625" style="557" customWidth="1"/>
    <col min="11" max="11" width="13" style="557" customWidth="1"/>
    <col min="12" max="45" width="9.1328125" style="557" customWidth="1"/>
    <col min="46" max="16384" width="9.1328125" style="557"/>
  </cols>
  <sheetData>
    <row r="1" spans="1:17" s="564" customFormat="1" x14ac:dyDescent="0.35">
      <c r="A1" s="586"/>
    </row>
    <row r="2" spans="1:17" s="564" customFormat="1" ht="17.25" customHeight="1" x14ac:dyDescent="0.4">
      <c r="B2" s="565" t="s">
        <v>328</v>
      </c>
      <c r="C2" s="566">
        <f ca="1">Var_AfspraakDatum</f>
        <v>42736</v>
      </c>
      <c r="D2" s="567"/>
      <c r="E2" s="565" t="s">
        <v>329</v>
      </c>
      <c r="F2" s="568">
        <f>_Pat_OpnDatum</f>
        <v>42736</v>
      </c>
      <c r="G2" s="565" t="str">
        <f ca="1">"ICU-dag: "&amp;Var_AfspraakDatum-_Pat_OpnDatum+1</f>
        <v>ICU-dag: 1</v>
      </c>
      <c r="H2" s="565"/>
      <c r="I2" s="565" t="s">
        <v>551</v>
      </c>
      <c r="J2" s="569" t="str">
        <f>__1_Bed</f>
        <v>Unit 1.2</v>
      </c>
    </row>
    <row r="3" spans="1:17" s="564" customFormat="1" ht="17.25" customHeight="1" x14ac:dyDescent="0.4">
      <c r="B3" s="565" t="s">
        <v>28</v>
      </c>
      <c r="C3" s="570" t="str">
        <f>__2_AchterNaam&amp;", "&amp;__3_VoorNaam</f>
        <v>Test, Test</v>
      </c>
      <c r="D3" s="570"/>
      <c r="E3" s="565" t="s">
        <v>336</v>
      </c>
      <c r="F3" s="568">
        <f>__4_GebDatum</f>
        <v>42736</v>
      </c>
      <c r="G3" s="569" t="str">
        <f>"Gewicht: "&amp;_Pat_Gewicht/10&amp;" kg"</f>
        <v>Gewicht: 10 kg</v>
      </c>
      <c r="H3" s="565"/>
      <c r="I3" s="569" t="str">
        <f>"Lengte: "&amp;_Pat_Lengte&amp;" cm"</f>
        <v>Lengte: 80 cm</v>
      </c>
      <c r="J3" s="565"/>
    </row>
    <row r="4" spans="1:17" s="564" customFormat="1" ht="17.25" customHeight="1" x14ac:dyDescent="0.4">
      <c r="A4" s="571"/>
      <c r="B4" s="565" t="s">
        <v>371</v>
      </c>
      <c r="C4" s="569">
        <f>__0_PatNum</f>
        <v>123456</v>
      </c>
      <c r="D4" s="567"/>
      <c r="E4" s="565" t="s">
        <v>298</v>
      </c>
      <c r="F4" s="572" t="str">
        <f ca="1">TRUNC((Var_AfspraakDatum-__4_GebDatum)/365,0)&amp;" jaar en "&amp;TRUNC(((Var_AfspraakDatum-__4_GebDatum)-365*TRUNC((Var_AfspraakDatum-__4_GebDatum)/365,0))/30,0)&amp;" maand(-en)"</f>
        <v>0 jaar en 0 maand(-en)</v>
      </c>
      <c r="G4" s="565"/>
      <c r="I4" s="565" t="str">
        <f>"Lichamelijk oppervlak: "&amp;ROUND(POWER(_Pat_Gewicht/10,0.425)*POWER(((_Pat_Lengte/100)*100),0.725)*0.007184,2)&amp;" m2"</f>
        <v>Lichamelijk oppervlak: 0,46 m2</v>
      </c>
      <c r="J4" s="565"/>
    </row>
    <row r="6" spans="1:17" ht="13.2" x14ac:dyDescent="0.4">
      <c r="A6" s="579"/>
      <c r="B6" s="556" t="s">
        <v>780</v>
      </c>
      <c r="F6" s="556" t="s">
        <v>787</v>
      </c>
      <c r="H6" s="556"/>
      <c r="Q6" s="560"/>
    </row>
    <row r="7" spans="1:17" ht="18" customHeight="1" x14ac:dyDescent="0.35">
      <c r="Q7" s="560"/>
    </row>
    <row r="8" spans="1:17" ht="18" customHeight="1" x14ac:dyDescent="0.35">
      <c r="C8" s="615" t="str">
        <f>IF(PedBerExtraAfspr!C7=0,"",PedBerExtraAfspr!C7)</f>
        <v/>
      </c>
      <c r="G8" s="574"/>
      <c r="Q8" s="560"/>
    </row>
    <row r="9" spans="1:17" ht="18" customHeight="1" x14ac:dyDescent="0.35">
      <c r="C9" s="615" t="str">
        <f>IF(PedBerExtraAfspr!C8=0,"",PedBerExtraAfspr!C8)</f>
        <v/>
      </c>
      <c r="G9" s="548" t="str">
        <f>CONCATENATE("à ",PedBerExtraAfspr!G16," uur")</f>
        <v>à  uur</v>
      </c>
      <c r="H9"/>
    </row>
    <row r="10" spans="1:17" ht="18" customHeight="1" x14ac:dyDescent="0.35">
      <c r="C10" s="615" t="str">
        <f>IF(PedBerExtraAfspr!C9=0,"",PedBerExtraAfspr!C9)</f>
        <v/>
      </c>
      <c r="G10" s="548" t="str">
        <f>CONCATENATE("à ",PedBerExtraAfspr!G18," uur")</f>
        <v>à  uur</v>
      </c>
      <c r="H10" s="622" t="s">
        <v>1048</v>
      </c>
      <c r="I10" s="623" t="str">
        <f>IF(_Ped_AfsprD_Verliezen=0,"",_Ped_AfsprD_Verliezen)</f>
        <v/>
      </c>
      <c r="J10" s="620"/>
      <c r="K10" s="620"/>
    </row>
    <row r="11" spans="1:17" ht="18" customHeight="1" x14ac:dyDescent="0.35">
      <c r="C11" s="573" t="str">
        <f>CONCATENATE(PedBerExtraAfspr!$B$12," dd")</f>
        <v xml:space="preserve"> dd</v>
      </c>
      <c r="D11" s="574"/>
      <c r="F11" s="582"/>
      <c r="I11" s="620"/>
      <c r="J11" s="620"/>
      <c r="K11" s="620"/>
    </row>
    <row r="12" spans="1:17" ht="18" customHeight="1" x14ac:dyDescent="0.35">
      <c r="F12" s="582"/>
      <c r="I12" s="620"/>
      <c r="J12" s="620"/>
      <c r="K12" s="620"/>
    </row>
    <row r="13" spans="1:17" ht="18" customHeight="1" x14ac:dyDescent="0.35">
      <c r="F13" s="582"/>
      <c r="I13" s="621"/>
      <c r="M13" s="560"/>
    </row>
    <row r="14" spans="1:17" ht="18" customHeight="1" x14ac:dyDescent="0.35">
      <c r="F14" s="582"/>
      <c r="M14" s="560"/>
    </row>
    <row r="15" spans="1:17" ht="18" customHeight="1" x14ac:dyDescent="0.35">
      <c r="F15" s="582"/>
    </row>
    <row r="16" spans="1:17" ht="18" customHeight="1" x14ac:dyDescent="0.35">
      <c r="F16" s="582"/>
      <c r="M16" s="560"/>
    </row>
    <row r="17" spans="1:14" ht="18" customHeight="1" x14ac:dyDescent="0.35">
      <c r="F17" s="582" t="s">
        <v>961</v>
      </c>
      <c r="M17" s="560"/>
    </row>
    <row r="18" spans="1:14" ht="18" customHeight="1" x14ac:dyDescent="0.35">
      <c r="C18" s="573" t="str">
        <f>CONCATENATE(PedBerExtraAfspr!$C$42," dd")</f>
        <v xml:space="preserve"> dd</v>
      </c>
      <c r="F18" s="870" t="str">
        <f>IF(_Ped_AfsprOverig=0,"",_Ped_AfsprOverig)</f>
        <v/>
      </c>
      <c r="G18" s="870"/>
      <c r="H18" s="870"/>
      <c r="K18" s="573"/>
      <c r="M18" s="560"/>
      <c r="N18" s="560"/>
    </row>
    <row r="19" spans="1:14" ht="18" customHeight="1" x14ac:dyDescent="0.35">
      <c r="C19" s="573" t="str">
        <f>CONCATENATE(PedBerExtraAfspr!$C$43," dd")</f>
        <v xml:space="preserve"> dd</v>
      </c>
      <c r="F19" s="870"/>
      <c r="G19" s="870"/>
      <c r="H19" s="870"/>
      <c r="K19" s="574"/>
      <c r="N19" s="560"/>
    </row>
    <row r="20" spans="1:14" ht="18" customHeight="1" x14ac:dyDescent="0.35">
      <c r="F20" s="870"/>
      <c r="G20" s="870"/>
      <c r="H20" s="870"/>
      <c r="K20" s="573"/>
      <c r="M20" s="560"/>
      <c r="N20" s="560"/>
    </row>
    <row r="21" spans="1:14" ht="18" customHeight="1" x14ac:dyDescent="0.35">
      <c r="F21" s="582"/>
      <c r="G21" s="608"/>
      <c r="H21" s="581"/>
      <c r="M21" s="560"/>
      <c r="N21" s="560"/>
    </row>
    <row r="22" spans="1:14" ht="18" customHeight="1" x14ac:dyDescent="0.4">
      <c r="B22" s="556" t="s">
        <v>786</v>
      </c>
      <c r="F22" s="582"/>
      <c r="G22" s="608"/>
      <c r="H22" s="581"/>
      <c r="M22" s="560"/>
    </row>
    <row r="23" spans="1:14" ht="18" customHeight="1" x14ac:dyDescent="0.35">
      <c r="F23" s="582"/>
      <c r="G23" s="608"/>
      <c r="H23" s="581"/>
      <c r="M23" s="560"/>
    </row>
    <row r="24" spans="1:14" ht="18" customHeight="1" x14ac:dyDescent="0.35">
      <c r="F24" s="582"/>
    </row>
    <row r="25" spans="1:14" ht="18" customHeight="1" x14ac:dyDescent="0.35"/>
    <row r="26" spans="1:14" ht="18" customHeight="1" x14ac:dyDescent="0.35"/>
    <row r="27" spans="1:14" ht="18" customHeight="1" x14ac:dyDescent="0.35"/>
    <row r="28" spans="1:14" ht="18" customHeight="1" x14ac:dyDescent="0.4">
      <c r="B28" s="556" t="s">
        <v>1024</v>
      </c>
    </row>
    <row r="29" spans="1:14" ht="18" customHeight="1" x14ac:dyDescent="0.35">
      <c r="A29" s="517"/>
    </row>
    <row r="30" spans="1:14" ht="18" customHeight="1" x14ac:dyDescent="0.35">
      <c r="A30" s="517"/>
      <c r="E30" s="582"/>
    </row>
    <row r="31" spans="1:14" ht="18" customHeight="1" x14ac:dyDescent="0.35">
      <c r="A31" s="517"/>
      <c r="E31" s="582"/>
      <c r="M31" s="560"/>
    </row>
    <row r="32" spans="1:14" ht="18" customHeight="1" x14ac:dyDescent="0.35">
      <c r="A32" s="517"/>
      <c r="B32" s="518"/>
      <c r="C32" s="518"/>
      <c r="D32" s="517"/>
      <c r="E32" s="517"/>
      <c r="M32" s="560"/>
    </row>
    <row r="33" spans="2:13" ht="18" customHeight="1" x14ac:dyDescent="0.35">
      <c r="B33" s="518"/>
      <c r="C33" s="518"/>
      <c r="D33" s="517"/>
      <c r="E33" s="517"/>
      <c r="M33" s="560"/>
    </row>
    <row r="34" spans="2:13" ht="18" customHeight="1" x14ac:dyDescent="0.35">
      <c r="B34" s="518"/>
      <c r="C34" s="518"/>
      <c r="D34" s="517"/>
      <c r="E34" s="517"/>
      <c r="M34" s="560"/>
    </row>
    <row r="35" spans="2:13" ht="18" customHeight="1" x14ac:dyDescent="0.35">
      <c r="B35" s="518"/>
      <c r="C35" s="518"/>
      <c r="D35" s="616">
        <f>PedBerExtraAfspr!D40</f>
        <v>0</v>
      </c>
      <c r="E35" s="517" t="s">
        <v>1026</v>
      </c>
      <c r="M35" s="560"/>
    </row>
    <row r="36" spans="2:13" ht="18" customHeight="1" x14ac:dyDescent="0.35">
      <c r="E36" s="582"/>
      <c r="M36" s="560"/>
    </row>
    <row r="37" spans="2:13" ht="18" customHeight="1" x14ac:dyDescent="0.35">
      <c r="M37" s="560"/>
    </row>
    <row r="38" spans="2:13" ht="18" customHeight="1" x14ac:dyDescent="0.35">
      <c r="E38" s="582"/>
      <c r="M38" s="560"/>
    </row>
    <row r="39" spans="2:13" ht="18" customHeight="1" x14ac:dyDescent="0.35">
      <c r="M39" s="560"/>
    </row>
    <row r="40" spans="2:13" ht="18" customHeight="1" x14ac:dyDescent="0.4">
      <c r="B40" s="556" t="s">
        <v>751</v>
      </c>
      <c r="M40" s="560"/>
    </row>
    <row r="41" spans="2:13" ht="18" customHeight="1" x14ac:dyDescent="0.35">
      <c r="B41" s="560" t="s">
        <v>780</v>
      </c>
      <c r="C41" s="557" t="str">
        <f>IFERROR(LEFT(Var_Ped_AfsprControles,LEN(Var_Ped_AfsprControles)-3),"")</f>
        <v/>
      </c>
      <c r="M41" s="560"/>
    </row>
    <row r="42" spans="2:13" ht="18" customHeight="1" x14ac:dyDescent="0.35">
      <c r="B42" s="560" t="s">
        <v>786</v>
      </c>
      <c r="C42" s="557" t="str">
        <f>IFERROR(LEFT(Var_Ped_AfsprOnderzoeken,LEN(Var_Ped_AfsprOnderzoeken)-3),"")</f>
        <v/>
      </c>
    </row>
    <row r="43" spans="2:13" ht="18" customHeight="1" x14ac:dyDescent="0.35">
      <c r="B43" s="557" t="s">
        <v>1024</v>
      </c>
      <c r="C43" s="557" t="str">
        <f>IFERROR(LEFT(Var_Ped_AfsprInstellingen,LEN(Var_Ped_AfsprInstellingen)-3),"")</f>
        <v/>
      </c>
      <c r="M43" s="560"/>
    </row>
    <row r="44" spans="2:13" ht="18" customHeight="1" x14ac:dyDescent="0.35">
      <c r="B44" s="560" t="s">
        <v>764</v>
      </c>
      <c r="C44" s="557" t="str">
        <f>IFERROR(LEFT(Var_Ped_AfsprOverig,LEN(Var_Ped_AfsprOverig)-3),"")</f>
        <v/>
      </c>
      <c r="M44" s="560"/>
    </row>
    <row r="45" spans="2:13" ht="18" customHeight="1" x14ac:dyDescent="0.35">
      <c r="M45" s="560"/>
    </row>
    <row r="46" spans="2:13" ht="18" customHeight="1" x14ac:dyDescent="0.35">
      <c r="M46" s="560"/>
    </row>
    <row r="47" spans="2:13" ht="18" customHeight="1" x14ac:dyDescent="0.35">
      <c r="M47" s="560"/>
    </row>
    <row r="48" spans="2:13" ht="18" customHeight="1" x14ac:dyDescent="0.35"/>
    <row r="49" spans="13:13" ht="18" customHeight="1" x14ac:dyDescent="0.35"/>
    <row r="50" spans="13:13" ht="18" customHeight="1" x14ac:dyDescent="0.35">
      <c r="M50" s="575"/>
    </row>
    <row r="51" spans="13:13" ht="18" customHeight="1" x14ac:dyDescent="0.35"/>
    <row r="52" spans="13:13" ht="18" customHeight="1" x14ac:dyDescent="0.35"/>
    <row r="53" spans="13:13" ht="18" customHeight="1" x14ac:dyDescent="0.35"/>
    <row r="54" spans="13:13" ht="18" customHeight="1" x14ac:dyDescent="0.35"/>
    <row r="55" spans="13:13" ht="18" customHeight="1" x14ac:dyDescent="0.35"/>
    <row r="56" spans="13:13" ht="18" customHeight="1" x14ac:dyDescent="0.35"/>
    <row r="57" spans="13:13" ht="18" customHeight="1" x14ac:dyDescent="0.35"/>
    <row r="58" spans="13:13" ht="18" customHeight="1" x14ac:dyDescent="0.35"/>
    <row r="59" spans="13:13" ht="18" customHeight="1" x14ac:dyDescent="0.35"/>
    <row r="60" spans="13:13" ht="18" customHeight="1" x14ac:dyDescent="0.35"/>
    <row r="61" spans="13:13" ht="18" customHeight="1" x14ac:dyDescent="0.35"/>
    <row r="62" spans="13:13" ht="18" customHeight="1" x14ac:dyDescent="0.35"/>
    <row r="63" spans="13:13" ht="18" customHeight="1" x14ac:dyDescent="0.35"/>
    <row r="64" spans="13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</sheetData>
  <mergeCells count="1">
    <mergeCell ref="F18:H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5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6" name="Check Box 45">
              <controlPr defaultSize="0" autoFill="0" autoLine="0" autoPict="0">
                <anchor moveWithCells="1">
                  <from>
                    <xdr:col>5</xdr:col>
                    <xdr:colOff>9575</xdr:colOff>
                    <xdr:row>7</xdr:row>
                    <xdr:rowOff>19150</xdr:rowOff>
                  </from>
                  <to>
                    <xdr:col>5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7" name="Spinner 57">
              <controlPr defaultSize="0" autoPict="0">
                <anchor moveWithCells="1" sizeWithCells="1">
                  <from>
                    <xdr:col>2</xdr:col>
                    <xdr:colOff>531405</xdr:colOff>
                    <xdr:row>10</xdr:row>
                    <xdr:rowOff>28725</xdr:rowOff>
                  </from>
                  <to>
                    <xdr:col>2</xdr:col>
                    <xdr:colOff>713328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8" name="Check Box 61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9" name="Check Box 62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28725</xdr:rowOff>
                  </from>
                  <to>
                    <xdr:col>1</xdr:col>
                    <xdr:colOff>1560704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10" name="Check Box 64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19150</xdr:rowOff>
                  </from>
                  <to>
                    <xdr:col>1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1" name="Drop Down 67">
              <controlPr defaultSize="0" autoLine="0" autoPict="0">
                <anchor moveWithCells="1">
                  <from>
                    <xdr:col>2</xdr:col>
                    <xdr:colOff>9575</xdr:colOff>
                    <xdr:row>28</xdr:row>
                    <xdr:rowOff>9575</xdr:rowOff>
                  </from>
                  <to>
                    <xdr:col>2</xdr:col>
                    <xdr:colOff>1029298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2" name="Drop Down 68">
              <controlPr defaultSize="0" autoLine="0" autoPict="0">
                <anchor moveWithCells="1">
                  <from>
                    <xdr:col>3</xdr:col>
                    <xdr:colOff>9575</xdr:colOff>
                    <xdr:row>28</xdr:row>
                    <xdr:rowOff>9575</xdr:rowOff>
                  </from>
                  <to>
                    <xdr:col>3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3" name="Check Box 69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4" name="Drop Down 72">
              <controlPr defaultSize="0" autoLine="0" autoPict="0">
                <anchor moveWithCells="1">
                  <from>
                    <xdr:col>2</xdr:col>
                    <xdr:colOff>9575</xdr:colOff>
                    <xdr:row>29</xdr:row>
                    <xdr:rowOff>9575</xdr:rowOff>
                  </from>
                  <to>
                    <xdr:col>2</xdr:col>
                    <xdr:colOff>1029298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5" name="Drop Down 73">
              <controlPr defaultSize="0" autoLine="0" autoPict="0">
                <anchor moveWithCells="1">
                  <from>
                    <xdr:col>3</xdr:col>
                    <xdr:colOff>9575</xdr:colOff>
                    <xdr:row>29</xdr:row>
                    <xdr:rowOff>9575</xdr:rowOff>
                  </from>
                  <to>
                    <xdr:col>3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6" name="Check Box 75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7" name="Check Box 76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8" name="Check Box 83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9" name="Check Box 86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20" name="Check Box 87">
              <controlPr defaultSize="0" autoFill="0" autoLine="0" autoPict="0">
                <anchor moveWithCells="1">
                  <from>
                    <xdr:col>1</xdr:col>
                    <xdr:colOff>9575</xdr:colOff>
                    <xdr:row>14</xdr:row>
                    <xdr:rowOff>19150</xdr:rowOff>
                  </from>
                  <to>
                    <xdr:col>1</xdr:col>
                    <xdr:colOff>1493680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1" name="Check Box 88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2" name="Check Box 89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3" name="Check Box 92">
              <controlPr defaultSize="0" autoFill="0" autoLine="0" autoPict="0">
                <anchor moveWithCells="1">
                  <from>
                    <xdr:col>3</xdr:col>
                    <xdr:colOff>9575</xdr:colOff>
                    <xdr:row>10</xdr:row>
                    <xdr:rowOff>19150</xdr:rowOff>
                  </from>
                  <to>
                    <xdr:col>3</xdr:col>
                    <xdr:colOff>923975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4" name="Check Box 93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5" name="Check Box 94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6" name="Check Box 95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7" name="Check Box 9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8" name="Check Box 109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9" name="Spinner 113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30" name="Spinner 11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1" name="Spinner 11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2" name="Drop Down 117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3" name="Drop Down 118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4" name="Drop Down 119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5" name="Spinner 121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6" name="Spinner 12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7" name="Drop Down 126">
              <controlPr defaultSize="0" autoLine="0" autoPict="0">
                <anchor moveWithCells="1">
                  <from>
                    <xdr:col>4</xdr:col>
                    <xdr:colOff>9575</xdr:colOff>
                    <xdr:row>28</xdr:row>
                    <xdr:rowOff>9575</xdr:rowOff>
                  </from>
                  <to>
                    <xdr:col>4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8" name="Drop Down 127">
              <controlPr defaultSize="0" autoLine="0" autoPict="0">
                <anchor moveWithCells="1">
                  <from>
                    <xdr:col>4</xdr:col>
                    <xdr:colOff>9575</xdr:colOff>
                    <xdr:row>29</xdr:row>
                    <xdr:rowOff>9575</xdr:rowOff>
                  </from>
                  <to>
                    <xdr:col>4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9" name="Check Box 128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40" name="Drop Down 129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9575</xdr:rowOff>
                  </from>
                  <to>
                    <xdr:col>2</xdr:col>
                    <xdr:colOff>1029298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1" name="Drop Down 130">
              <controlPr defaultSize="0" autoLine="0" autoPict="0">
                <anchor moveWithCells="1">
                  <from>
                    <xdr:col>3</xdr:col>
                    <xdr:colOff>9575</xdr:colOff>
                    <xdr:row>30</xdr:row>
                    <xdr:rowOff>9575</xdr:rowOff>
                  </from>
                  <to>
                    <xdr:col>3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2" name="Drop Down 131">
              <controlPr defaultSize="0" autoLine="0" autoPict="0">
                <anchor moveWithCells="1">
                  <from>
                    <xdr:col>4</xdr:col>
                    <xdr:colOff>9575</xdr:colOff>
                    <xdr:row>30</xdr:row>
                    <xdr:rowOff>9575</xdr:rowOff>
                  </from>
                  <to>
                    <xdr:col>4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3" name="Check Box 141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4" name="Check Box 142">
              <controlPr defaultSize="0" autoFill="0" autoLine="0" autoPict="0">
                <anchor moveWithCells="1">
                  <from>
                    <xdr:col>1</xdr:col>
                    <xdr:colOff>9575</xdr:colOff>
                    <xdr:row>33</xdr:row>
                    <xdr:rowOff>19150</xdr:rowOff>
                  </from>
                  <to>
                    <xdr:col>1</xdr:col>
                    <xdr:colOff>1230371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5" name="Check Box 143">
              <controlPr defaultSize="0" autoFill="0" autoLine="0" autoPict="0">
                <anchor moveWithCells="1">
                  <from>
                    <xdr:col>1</xdr:col>
                    <xdr:colOff>9575</xdr:colOff>
                    <xdr:row>32</xdr:row>
                    <xdr:rowOff>19150</xdr:rowOff>
                  </from>
                  <to>
                    <xdr:col>1</xdr:col>
                    <xdr:colOff>1230371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6" name="Check Box 144">
              <controlPr defaultSize="0" autoFill="0" autoLine="0" autoPict="0">
                <anchor moveWithCells="1">
                  <from>
                    <xdr:col>2</xdr:col>
                    <xdr:colOff>9575</xdr:colOff>
                    <xdr:row>31</xdr:row>
                    <xdr:rowOff>19150</xdr:rowOff>
                  </from>
                  <to>
                    <xdr:col>3</xdr:col>
                    <xdr:colOff>143623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7" name="Check Box 145">
              <controlPr defaultSize="0" autoFill="0" autoLine="0" autoPict="0">
                <anchor moveWithCells="1">
                  <from>
                    <xdr:col>2</xdr:col>
                    <xdr:colOff>9575</xdr:colOff>
                    <xdr:row>32</xdr:row>
                    <xdr:rowOff>19150</xdr:rowOff>
                  </from>
                  <to>
                    <xdr:col>3</xdr:col>
                    <xdr:colOff>143623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8" name="Check Box 146">
              <controlPr defaultSize="0" autoFill="0" autoLine="0" autoPict="0">
                <anchor moveWithCells="1">
                  <from>
                    <xdr:col>2</xdr:col>
                    <xdr:colOff>9575</xdr:colOff>
                    <xdr:row>33</xdr:row>
                    <xdr:rowOff>19150</xdr:rowOff>
                  </from>
                  <to>
                    <xdr:col>3</xdr:col>
                    <xdr:colOff>143623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9" name="Drop Down 147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50" name="Spinner 148">
              <controlPr defaultSize="0" autoPict="0">
                <anchor moveWithCells="1" sizeWithCells="1">
                  <from>
                    <xdr:col>3</xdr:col>
                    <xdr:colOff>531405</xdr:colOff>
                    <xdr:row>34</xdr:row>
                    <xdr:rowOff>28725</xdr:rowOff>
                  </from>
                  <to>
                    <xdr:col>3</xdr:col>
                    <xdr:colOff>713328</xdr:colOff>
                    <xdr:row>34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1" name="Check Box 149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2" name="Check Box 151">
              <controlPr defaultSize="0" autoFill="0" autoLine="0" autoPict="0">
                <anchor moveWithCells="1">
                  <from>
                    <xdr:col>5</xdr:col>
                    <xdr:colOff>9575</xdr:colOff>
                    <xdr:row>10</xdr:row>
                    <xdr:rowOff>19150</xdr:rowOff>
                  </from>
                  <to>
                    <xdr:col>5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3" name="Check Box 152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4" name="Check Box 154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5" name="Check Box 157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6" name="Check Box 158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7" name="Check Box 159">
              <controlPr defaultSize="0" autoFill="0" autoLine="0" autoPict="0">
                <anchor moveWithCells="1">
                  <from>
                    <xdr:col>5</xdr:col>
                    <xdr:colOff>9575</xdr:colOff>
                    <xdr:row>15</xdr:row>
                    <xdr:rowOff>19150</xdr:rowOff>
                  </from>
                  <to>
                    <xdr:col>5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8" name="Check Box 162">
              <controlPr defaultSize="0" autoFill="0" autoLine="0" autoPict="0">
                <anchor moveWithCells="1">
                  <from>
                    <xdr:col>2</xdr:col>
                    <xdr:colOff>9575</xdr:colOff>
                    <xdr:row>22</xdr:row>
                    <xdr:rowOff>19150</xdr:rowOff>
                  </from>
                  <to>
                    <xdr:col>3</xdr:col>
                    <xdr:colOff>143623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9" name="Check Box 163">
              <controlPr defaultSize="0" autoFill="0" autoLine="0" autoPict="0">
                <anchor moveWithCells="1">
                  <from>
                    <xdr:col>2</xdr:col>
                    <xdr:colOff>9575</xdr:colOff>
                    <xdr:row>23</xdr:row>
                    <xdr:rowOff>19150</xdr:rowOff>
                  </from>
                  <to>
                    <xdr:col>3</xdr:col>
                    <xdr:colOff>143623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60" name="Spinner 1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1" name="Spinner 16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2" name="Check Box 167">
              <controlPr defaultSize="0" autoFill="0" autoLine="0" autoPict="0">
                <anchor moveWithCells="1">
                  <from>
                    <xdr:col>5</xdr:col>
                    <xdr:colOff>9575</xdr:colOff>
                    <xdr:row>8</xdr:row>
                    <xdr:rowOff>19150</xdr:rowOff>
                  </from>
                  <to>
                    <xdr:col>5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3" name="Spinner 168">
              <controlPr defaultSize="0" autoPict="0">
                <anchor moveWithCells="1" sizeWithCells="1">
                  <from>
                    <xdr:col>6</xdr:col>
                    <xdr:colOff>627154</xdr:colOff>
                    <xdr:row>8</xdr:row>
                    <xdr:rowOff>28725</xdr:rowOff>
                  </from>
                  <to>
                    <xdr:col>6</xdr:col>
                    <xdr:colOff>809076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4" name="Spinner 169">
              <controlPr defaultSize="0" autoPict="0">
                <anchor moveWithCells="1" sizeWithCells="1">
                  <from>
                    <xdr:col>6</xdr:col>
                    <xdr:colOff>627154</xdr:colOff>
                    <xdr:row>9</xdr:row>
                    <xdr:rowOff>28725</xdr:rowOff>
                  </from>
                  <to>
                    <xdr:col>6</xdr:col>
                    <xdr:colOff>809076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5" name="Check Box 170">
              <controlPr defaultSize="0" autoFill="0" autoLine="0" autoPict="0">
                <anchor moveWithCells="1">
                  <from>
                    <xdr:col>5</xdr:col>
                    <xdr:colOff>9575</xdr:colOff>
                    <xdr:row>9</xdr:row>
                    <xdr:rowOff>19150</xdr:rowOff>
                  </from>
                  <to>
                    <xdr:col>5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6" name="Check Box 171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7" name="Check Box 172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1493680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8" name="Check Box 173">
              <controlPr defaultSize="0" autoFill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1</xdr:col>
                    <xdr:colOff>1493680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9" name="Spinner 174">
              <controlPr defaultSize="0" autoPict="0">
                <anchor moveWithCells="1" sizeWithCells="1">
                  <from>
                    <xdr:col>2</xdr:col>
                    <xdr:colOff>531405</xdr:colOff>
                    <xdr:row>17</xdr:row>
                    <xdr:rowOff>28725</xdr:rowOff>
                  </from>
                  <to>
                    <xdr:col>2</xdr:col>
                    <xdr:colOff>713328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70" name="Spinner 175">
              <controlPr defaultSize="0" autoPict="0">
                <anchor moveWithCells="1" sizeWithCells="1">
                  <from>
                    <xdr:col>2</xdr:col>
                    <xdr:colOff>531405</xdr:colOff>
                    <xdr:row>18</xdr:row>
                    <xdr:rowOff>28725</xdr:rowOff>
                  </from>
                  <to>
                    <xdr:col>2</xdr:col>
                    <xdr:colOff>713328</xdr:colOff>
                    <xdr:row>18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xtraAfspr">
    <tabColor rgb="FF92D050"/>
  </sheetPr>
  <dimension ref="A1:H95"/>
  <sheetViews>
    <sheetView topLeftCell="A7" zoomScaleNormal="100" workbookViewId="0">
      <selection activeCell="C43" activeCellId="25" sqref="D7 D8 D9 D10 B12 D27 D28 D29 D30 D31 D32 D33 D34 D35 D39 D40 F17 C7 C8 C9 C10 G16 G18 H18 C42 C43"/>
    </sheetView>
  </sheetViews>
  <sheetFormatPr defaultColWidth="9.1328125" defaultRowHeight="12.85" x14ac:dyDescent="0.35"/>
  <cols>
    <col min="1" max="1" width="34.73046875" style="557" bestFit="1" customWidth="1"/>
    <col min="2" max="2" width="9.1328125" style="557"/>
    <col min="3" max="3" width="14" style="557" customWidth="1"/>
    <col min="4" max="4" width="9.1328125" style="558"/>
    <col min="5" max="5" width="28" style="563" bestFit="1" customWidth="1"/>
    <col min="6" max="6" width="9.1328125" style="557"/>
    <col min="7" max="7" width="13.59765625" style="557" customWidth="1"/>
    <col min="8" max="16384" width="9.1328125" style="557"/>
  </cols>
  <sheetData>
    <row r="1" spans="1:8" x14ac:dyDescent="0.35">
      <c r="A1" s="579"/>
    </row>
    <row r="6" spans="1:8" ht="13.2" x14ac:dyDescent="0.4">
      <c r="A6" s="599" t="s">
        <v>780</v>
      </c>
      <c r="E6" s="559" t="s">
        <v>764</v>
      </c>
    </row>
    <row r="7" spans="1:8" x14ac:dyDescent="0.35">
      <c r="A7" s="560" t="s">
        <v>297</v>
      </c>
      <c r="B7" s="579"/>
      <c r="C7" s="579"/>
      <c r="D7" s="580"/>
      <c r="E7" s="561" t="s">
        <v>750</v>
      </c>
      <c r="F7" s="579"/>
    </row>
    <row r="8" spans="1:8" x14ac:dyDescent="0.35">
      <c r="A8" s="560" t="s">
        <v>142</v>
      </c>
      <c r="B8" s="579"/>
      <c r="C8" s="579"/>
      <c r="D8" s="580"/>
      <c r="E8" s="561" t="s">
        <v>760</v>
      </c>
      <c r="F8" s="579"/>
    </row>
    <row r="9" spans="1:8" x14ac:dyDescent="0.35">
      <c r="A9" s="557" t="s">
        <v>958</v>
      </c>
      <c r="B9" s="579"/>
      <c r="C9" s="579"/>
      <c r="D9" s="580"/>
      <c r="E9" s="561" t="s">
        <v>1033</v>
      </c>
      <c r="F9" s="579"/>
    </row>
    <row r="10" spans="1:8" x14ac:dyDescent="0.35">
      <c r="A10" s="557" t="s">
        <v>1012</v>
      </c>
      <c r="B10" s="579"/>
      <c r="C10" s="579"/>
      <c r="D10" s="580"/>
      <c r="E10" s="561" t="s">
        <v>1034</v>
      </c>
      <c r="F10" s="579"/>
    </row>
    <row r="11" spans="1:8" x14ac:dyDescent="0.35">
      <c r="A11" s="560" t="s">
        <v>838</v>
      </c>
      <c r="B11" s="579"/>
      <c r="C11" s="560" t="s">
        <v>782</v>
      </c>
      <c r="D11" s="580"/>
      <c r="E11" s="561" t="s">
        <v>1035</v>
      </c>
      <c r="F11" s="579"/>
    </row>
    <row r="12" spans="1:8" x14ac:dyDescent="0.35">
      <c r="A12" s="560" t="s">
        <v>840</v>
      </c>
      <c r="B12" s="617"/>
      <c r="C12" s="562" t="s">
        <v>783</v>
      </c>
      <c r="D12" s="580"/>
      <c r="E12" s="561" t="s">
        <v>758</v>
      </c>
      <c r="F12" s="579"/>
    </row>
    <row r="13" spans="1:8" x14ac:dyDescent="0.35">
      <c r="B13" s="579"/>
      <c r="C13" s="560" t="s">
        <v>784</v>
      </c>
      <c r="D13" s="580"/>
      <c r="E13" s="563" t="s">
        <v>1036</v>
      </c>
      <c r="F13" s="579"/>
    </row>
    <row r="14" spans="1:8" x14ac:dyDescent="0.35">
      <c r="B14" s="579"/>
      <c r="C14" s="560" t="s">
        <v>785</v>
      </c>
      <c r="D14" s="580"/>
      <c r="E14" s="563" t="s">
        <v>1037</v>
      </c>
      <c r="F14" s="579"/>
    </row>
    <row r="15" spans="1:8" x14ac:dyDescent="0.35">
      <c r="A15" s="560" t="s">
        <v>839</v>
      </c>
      <c r="B15" s="579"/>
      <c r="D15" s="580"/>
      <c r="E15" s="563" t="s">
        <v>1038</v>
      </c>
      <c r="F15" s="579"/>
    </row>
    <row r="16" spans="1:8" x14ac:dyDescent="0.35">
      <c r="A16" s="557" t="s">
        <v>706</v>
      </c>
      <c r="B16" s="579"/>
      <c r="D16" s="580"/>
      <c r="E16" s="561" t="s">
        <v>1047</v>
      </c>
      <c r="F16" s="579"/>
      <c r="G16" s="579"/>
      <c r="H16" s="560"/>
    </row>
    <row r="17" spans="1:8" x14ac:dyDescent="0.35">
      <c r="A17" s="560" t="s">
        <v>705</v>
      </c>
      <c r="B17" s="579"/>
      <c r="D17" s="580"/>
      <c r="E17" s="561" t="s">
        <v>764</v>
      </c>
      <c r="F17" s="579"/>
    </row>
    <row r="18" spans="1:8" x14ac:dyDescent="0.35">
      <c r="E18" s="561" t="s">
        <v>944</v>
      </c>
      <c r="F18" s="579"/>
      <c r="G18" s="579"/>
      <c r="H18" s="579"/>
    </row>
    <row r="19" spans="1:8" ht="13.2" x14ac:dyDescent="0.4">
      <c r="A19" s="556" t="s">
        <v>786</v>
      </c>
      <c r="B19" s="579"/>
      <c r="E19" s="561"/>
    </row>
    <row r="20" spans="1:8" x14ac:dyDescent="0.35">
      <c r="A20" s="560" t="s">
        <v>1010</v>
      </c>
      <c r="B20" s="579"/>
      <c r="D20" s="580"/>
      <c r="E20" s="561"/>
    </row>
    <row r="21" spans="1:8" x14ac:dyDescent="0.35">
      <c r="A21" s="560" t="s">
        <v>33</v>
      </c>
      <c r="B21" s="579"/>
      <c r="D21" s="580"/>
    </row>
    <row r="22" spans="1:8" x14ac:dyDescent="0.35">
      <c r="A22" s="560" t="s">
        <v>841</v>
      </c>
      <c r="B22" s="579"/>
      <c r="D22" s="580"/>
    </row>
    <row r="23" spans="1:8" x14ac:dyDescent="0.35">
      <c r="A23" s="560" t="s">
        <v>842</v>
      </c>
      <c r="B23" s="579"/>
      <c r="D23" s="580"/>
    </row>
    <row r="24" spans="1:8" x14ac:dyDescent="0.35">
      <c r="A24" s="557" t="s">
        <v>1039</v>
      </c>
      <c r="B24" s="579"/>
      <c r="D24" s="580"/>
    </row>
    <row r="25" spans="1:8" x14ac:dyDescent="0.35">
      <c r="A25" s="557" t="s">
        <v>1040</v>
      </c>
      <c r="B25" s="579"/>
      <c r="D25" s="580"/>
    </row>
    <row r="26" spans="1:8" ht="13.2" x14ac:dyDescent="0.4">
      <c r="A26" s="556" t="s">
        <v>1024</v>
      </c>
      <c r="B26" s="579"/>
      <c r="D26" s="580"/>
    </row>
    <row r="27" spans="1:8" x14ac:dyDescent="0.35">
      <c r="A27" s="560" t="s">
        <v>843</v>
      </c>
      <c r="B27" s="579"/>
      <c r="C27" s="557" t="str">
        <f t="shared" ref="C27:C35" si="0">IF(OR(D27=0,D27=1,D27=""),"",INDEX(tbl_Ped_DrainLokatie,D27,0))</f>
        <v/>
      </c>
      <c r="D27" s="579"/>
    </row>
    <row r="28" spans="1:8" x14ac:dyDescent="0.35">
      <c r="B28" s="579"/>
      <c r="C28" s="557" t="str">
        <f>IF(OR(D28=0,D28=1,D28=""),"",INDEX(tbl_Ped_DrainModus,D28,0))</f>
        <v/>
      </c>
      <c r="D28" s="579"/>
    </row>
    <row r="29" spans="1:8" x14ac:dyDescent="0.35">
      <c r="B29" s="579"/>
      <c r="C29" s="557" t="str">
        <f>IF(OR(D29=0,D29=1,D29=""),"",INDEX(tbl_Ped_DrainZuig,D29,0))</f>
        <v/>
      </c>
      <c r="D29" s="579"/>
    </row>
    <row r="30" spans="1:8" x14ac:dyDescent="0.35">
      <c r="A30" s="560" t="s">
        <v>941</v>
      </c>
      <c r="B30" s="579"/>
      <c r="C30" s="557" t="str">
        <f t="shared" si="0"/>
        <v/>
      </c>
      <c r="D30" s="579"/>
    </row>
    <row r="31" spans="1:8" x14ac:dyDescent="0.35">
      <c r="B31" s="579"/>
      <c r="C31" s="557" t="str">
        <f>IF(OR(D31=0,D31=1,D31=""),"",INDEX(tbl_Ped_DrainModus,D31,0))</f>
        <v/>
      </c>
      <c r="D31" s="579"/>
    </row>
    <row r="32" spans="1:8" x14ac:dyDescent="0.35">
      <c r="B32" s="579"/>
      <c r="C32" s="557" t="str">
        <f>IF(OR(D32=0,D32=1,D32=""),"",INDEX(tbl_Ped_DrainZuig,D32,0))</f>
        <v/>
      </c>
      <c r="D32" s="579"/>
    </row>
    <row r="33" spans="1:5" x14ac:dyDescent="0.35">
      <c r="A33" s="560" t="s">
        <v>1027</v>
      </c>
      <c r="B33" s="579"/>
      <c r="C33" s="557" t="str">
        <f t="shared" si="0"/>
        <v/>
      </c>
      <c r="D33" s="579"/>
    </row>
    <row r="34" spans="1:5" x14ac:dyDescent="0.35">
      <c r="B34" s="579"/>
      <c r="C34" s="557" t="str">
        <f t="shared" si="0"/>
        <v/>
      </c>
      <c r="D34" s="579"/>
    </row>
    <row r="35" spans="1:5" x14ac:dyDescent="0.35">
      <c r="B35" s="579"/>
      <c r="C35" s="557" t="str">
        <f t="shared" si="0"/>
        <v/>
      </c>
      <c r="D35" s="579"/>
    </row>
    <row r="36" spans="1:5" x14ac:dyDescent="0.35">
      <c r="A36" s="554" t="s">
        <v>762</v>
      </c>
      <c r="B36" s="577"/>
      <c r="C36" s="518" t="s">
        <v>1028</v>
      </c>
      <c r="D36" s="578"/>
      <c r="E36" s="563" t="str">
        <f>IF(B36,CONCATENATE(A36,IF(D36,CONCATENATE(" (",C36,")"),"")," - "),"")</f>
        <v/>
      </c>
    </row>
    <row r="37" spans="1:5" x14ac:dyDescent="0.35">
      <c r="A37" s="518" t="s">
        <v>960</v>
      </c>
      <c r="B37" s="577"/>
      <c r="C37" s="518" t="s">
        <v>1028</v>
      </c>
      <c r="D37" s="577"/>
      <c r="E37" s="563" t="str">
        <f t="shared" ref="E37:E38" si="1">IF(B37,CONCATENATE(A37,IF(D37,CONCATENATE(" (",C37,")"),"")," - "),"")</f>
        <v/>
      </c>
    </row>
    <row r="38" spans="1:5" x14ac:dyDescent="0.35">
      <c r="A38" s="554" t="s">
        <v>761</v>
      </c>
      <c r="B38" s="577"/>
      <c r="C38" s="518" t="s">
        <v>1028</v>
      </c>
      <c r="D38" s="577"/>
      <c r="E38" s="563" t="str">
        <f t="shared" si="1"/>
        <v/>
      </c>
    </row>
    <row r="39" spans="1:5" x14ac:dyDescent="0.35">
      <c r="A39" s="518" t="s">
        <v>1025</v>
      </c>
      <c r="B39" s="577"/>
      <c r="C39" s="517" t="str">
        <f>IF(OR(D39=0,D39=1,D39=""),"",INDEX(tbl_Ped_LiquorDrain,D39,0))</f>
        <v/>
      </c>
      <c r="D39" s="578"/>
    </row>
    <row r="40" spans="1:5" x14ac:dyDescent="0.35">
      <c r="A40" s="517"/>
      <c r="B40" s="577"/>
      <c r="C40" s="517" t="s">
        <v>1026</v>
      </c>
      <c r="D40" s="578"/>
    </row>
    <row r="42" spans="1:5" x14ac:dyDescent="0.35">
      <c r="A42" s="557" t="s">
        <v>1049</v>
      </c>
      <c r="B42" s="579"/>
      <c r="C42" s="579"/>
    </row>
    <row r="43" spans="1:5" x14ac:dyDescent="0.35">
      <c r="A43" s="557" t="s">
        <v>1050</v>
      </c>
      <c r="B43" s="579"/>
      <c r="C43" s="579"/>
    </row>
    <row r="44" spans="1:5" x14ac:dyDescent="0.35">
      <c r="A44" s="557" t="s">
        <v>1051</v>
      </c>
      <c r="B44" s="579"/>
    </row>
    <row r="46" spans="1:5" ht="13.2" x14ac:dyDescent="0.4">
      <c r="A46" s="556" t="s">
        <v>751</v>
      </c>
    </row>
    <row r="47" spans="1:5" x14ac:dyDescent="0.35">
      <c r="A47" s="560" t="s">
        <v>780</v>
      </c>
      <c r="B47" s="557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35">
      <c r="A48" s="560" t="s">
        <v>786</v>
      </c>
      <c r="B48" s="557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35">
      <c r="A49" s="557" t="s">
        <v>1024</v>
      </c>
      <c r="B49" s="557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35">
      <c r="A50" s="560" t="s">
        <v>764</v>
      </c>
      <c r="B50" s="557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35">
      <c r="A56" s="560"/>
    </row>
    <row r="58" spans="1:2" x14ac:dyDescent="0.35">
      <c r="A58" s="560"/>
    </row>
    <row r="60" spans="1:2" x14ac:dyDescent="0.35">
      <c r="A60" s="560"/>
    </row>
    <row r="61" spans="1:2" x14ac:dyDescent="0.35">
      <c r="A61" s="560"/>
    </row>
    <row r="62" spans="1:2" x14ac:dyDescent="0.35">
      <c r="A62" s="560"/>
    </row>
    <row r="63" spans="1:2" x14ac:dyDescent="0.35">
      <c r="A63" s="560"/>
    </row>
    <row r="64" spans="1:2" x14ac:dyDescent="0.35">
      <c r="A64" s="560"/>
    </row>
    <row r="65" spans="1:1" x14ac:dyDescent="0.35">
      <c r="A65" s="560"/>
    </row>
    <row r="66" spans="1:1" x14ac:dyDescent="0.35">
      <c r="A66" s="560"/>
    </row>
    <row r="67" spans="1:1" x14ac:dyDescent="0.35">
      <c r="A67" s="560"/>
    </row>
    <row r="68" spans="1:1" x14ac:dyDescent="0.35">
      <c r="A68" s="560"/>
    </row>
    <row r="69" spans="1:1" x14ac:dyDescent="0.35">
      <c r="A69" s="560"/>
    </row>
    <row r="70" spans="1:1" x14ac:dyDescent="0.35">
      <c r="A70" s="560"/>
    </row>
    <row r="71" spans="1:1" x14ac:dyDescent="0.35">
      <c r="A71" s="560"/>
    </row>
    <row r="73" spans="1:1" x14ac:dyDescent="0.35">
      <c r="A73" s="560"/>
    </row>
    <row r="74" spans="1:1" x14ac:dyDescent="0.35">
      <c r="A74" s="560"/>
    </row>
    <row r="75" spans="1:1" x14ac:dyDescent="0.35">
      <c r="A75" s="560"/>
    </row>
    <row r="76" spans="1:1" x14ac:dyDescent="0.35">
      <c r="A76" s="560"/>
    </row>
    <row r="77" spans="1:1" x14ac:dyDescent="0.35">
      <c r="A77" s="560"/>
    </row>
    <row r="78" spans="1:1" x14ac:dyDescent="0.35">
      <c r="A78" s="560"/>
    </row>
    <row r="79" spans="1:1" x14ac:dyDescent="0.35">
      <c r="A79" s="560"/>
    </row>
    <row r="80" spans="1:1" x14ac:dyDescent="0.35">
      <c r="A80" s="560"/>
    </row>
    <row r="81" spans="1:1" x14ac:dyDescent="0.35">
      <c r="A81" s="560"/>
    </row>
    <row r="82" spans="1:1" x14ac:dyDescent="0.35">
      <c r="A82" s="560"/>
    </row>
    <row r="83" spans="1:1" x14ac:dyDescent="0.35">
      <c r="A83" s="560"/>
    </row>
    <row r="84" spans="1:1" x14ac:dyDescent="0.35">
      <c r="A84" s="560"/>
    </row>
    <row r="85" spans="1:1" x14ac:dyDescent="0.35">
      <c r="A85" s="560"/>
    </row>
    <row r="86" spans="1:1" x14ac:dyDescent="0.35">
      <c r="A86" s="560"/>
    </row>
    <row r="87" spans="1:1" x14ac:dyDescent="0.35">
      <c r="A87" s="560"/>
    </row>
    <row r="88" spans="1:1" x14ac:dyDescent="0.35">
      <c r="A88" s="560"/>
    </row>
    <row r="89" spans="1:1" x14ac:dyDescent="0.35">
      <c r="A89" s="560"/>
    </row>
    <row r="90" spans="1:1" x14ac:dyDescent="0.35">
      <c r="A90" s="560"/>
    </row>
    <row r="91" spans="1:1" x14ac:dyDescent="0.35">
      <c r="A91" s="560"/>
    </row>
    <row r="92" spans="1:1" x14ac:dyDescent="0.35">
      <c r="A92" s="560"/>
    </row>
    <row r="93" spans="1:1" x14ac:dyDescent="0.35">
      <c r="A93" s="560"/>
    </row>
    <row r="94" spans="1:1" x14ac:dyDescent="0.35">
      <c r="A94" s="560"/>
    </row>
    <row r="95" spans="1:1" x14ac:dyDescent="0.35">
      <c r="A95" s="560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Extra">
    <tabColor rgb="FFFFC000"/>
  </sheetPr>
  <dimension ref="A1:P98"/>
  <sheetViews>
    <sheetView workbookViewId="0"/>
  </sheetViews>
  <sheetFormatPr defaultRowHeight="12.85" x14ac:dyDescent="0.35"/>
  <cols>
    <col min="1" max="1" width="11.59765625" bestFit="1" customWidth="1"/>
    <col min="2" max="3" width="18.265625" bestFit="1" customWidth="1"/>
    <col min="4" max="4" width="18.265625" style="517" customWidth="1"/>
    <col min="5" max="5" width="11" bestFit="1" customWidth="1"/>
    <col min="6" max="6" width="12.1328125" bestFit="1" customWidth="1"/>
    <col min="8" max="8" width="9.1328125" style="236"/>
    <col min="9" max="9" width="19.265625" bestFit="1" customWidth="1"/>
    <col min="10" max="10" width="17.73046875" bestFit="1" customWidth="1"/>
  </cols>
  <sheetData>
    <row r="1" spans="1:16" s="517" customFormat="1" ht="13.2" x14ac:dyDescent="0.4">
      <c r="A1" s="591" t="s">
        <v>719</v>
      </c>
      <c r="B1" s="3" t="s">
        <v>754</v>
      </c>
      <c r="C1" s="3" t="s">
        <v>755</v>
      </c>
      <c r="D1" s="3" t="s">
        <v>1020</v>
      </c>
      <c r="E1" s="3" t="s">
        <v>781</v>
      </c>
      <c r="F1" s="3" t="s">
        <v>788</v>
      </c>
      <c r="G1" s="3" t="s">
        <v>844</v>
      </c>
      <c r="H1" s="552"/>
      <c r="I1" s="3" t="s">
        <v>1011</v>
      </c>
      <c r="J1" s="3" t="s">
        <v>1029</v>
      </c>
    </row>
    <row r="2" spans="1:16" x14ac:dyDescent="0.35">
      <c r="G2">
        <v>1</v>
      </c>
    </row>
    <row r="3" spans="1:16" x14ac:dyDescent="0.35">
      <c r="A3" s="518" t="s">
        <v>715</v>
      </c>
      <c r="B3" s="525" t="s">
        <v>1013</v>
      </c>
      <c r="C3" s="518" t="s">
        <v>1016</v>
      </c>
      <c r="D3" s="518" t="s">
        <v>1021</v>
      </c>
      <c r="E3" s="518" t="s">
        <v>782</v>
      </c>
      <c r="F3" s="518" t="s">
        <v>789</v>
      </c>
      <c r="G3">
        <v>2</v>
      </c>
      <c r="H3" s="517" t="s">
        <v>845</v>
      </c>
      <c r="I3" s="614" t="s">
        <v>1041</v>
      </c>
      <c r="J3" t="s">
        <v>1030</v>
      </c>
      <c r="N3" s="522"/>
      <c r="O3" s="517"/>
      <c r="P3" s="517"/>
    </row>
    <row r="4" spans="1:16" x14ac:dyDescent="0.35">
      <c r="A4" s="518" t="s">
        <v>716</v>
      </c>
      <c r="B4" s="525" t="s">
        <v>752</v>
      </c>
      <c r="C4" s="518" t="s">
        <v>1017</v>
      </c>
      <c r="D4" s="518" t="s">
        <v>1022</v>
      </c>
      <c r="E4" s="518" t="s">
        <v>783</v>
      </c>
      <c r="F4" s="518" t="s">
        <v>790</v>
      </c>
      <c r="G4">
        <v>3</v>
      </c>
      <c r="H4" s="517" t="s">
        <v>846</v>
      </c>
      <c r="I4" s="614" t="s">
        <v>1042</v>
      </c>
      <c r="J4" t="s">
        <v>1031</v>
      </c>
      <c r="N4" s="518"/>
      <c r="O4" s="517"/>
      <c r="P4" s="517"/>
    </row>
    <row r="5" spans="1:16" x14ac:dyDescent="0.35">
      <c r="A5" s="518" t="s">
        <v>717</v>
      </c>
      <c r="B5" s="525" t="s">
        <v>753</v>
      </c>
      <c r="C5" s="518" t="s">
        <v>1018</v>
      </c>
      <c r="D5" s="518" t="s">
        <v>1023</v>
      </c>
      <c r="E5" s="518" t="s">
        <v>784</v>
      </c>
      <c r="F5" s="518" t="s">
        <v>791</v>
      </c>
      <c r="G5" s="517">
        <v>4</v>
      </c>
      <c r="H5" s="517" t="s">
        <v>847</v>
      </c>
      <c r="I5" s="614" t="s">
        <v>1043</v>
      </c>
      <c r="J5" t="s">
        <v>1032</v>
      </c>
      <c r="N5" s="518"/>
      <c r="O5" s="517"/>
      <c r="P5" s="517"/>
    </row>
    <row r="6" spans="1:16" x14ac:dyDescent="0.35">
      <c r="A6" s="577"/>
      <c r="B6" s="525" t="s">
        <v>959</v>
      </c>
      <c r="C6" t="s">
        <v>1019</v>
      </c>
      <c r="E6" s="518" t="s">
        <v>785</v>
      </c>
      <c r="F6" s="518" t="s">
        <v>792</v>
      </c>
      <c r="G6" s="517">
        <v>5</v>
      </c>
      <c r="H6" s="517" t="s">
        <v>848</v>
      </c>
      <c r="I6" s="551"/>
      <c r="N6" s="517"/>
      <c r="O6" s="517"/>
      <c r="P6" s="517"/>
    </row>
    <row r="7" spans="1:16" x14ac:dyDescent="0.35">
      <c r="B7" s="525" t="s">
        <v>1014</v>
      </c>
      <c r="E7" s="518"/>
      <c r="G7" s="517">
        <v>6</v>
      </c>
      <c r="H7" s="517" t="s">
        <v>849</v>
      </c>
      <c r="I7" s="551"/>
      <c r="N7" s="517"/>
      <c r="O7" s="517"/>
      <c r="P7" s="517"/>
    </row>
    <row r="8" spans="1:16" x14ac:dyDescent="0.35">
      <c r="B8" s="525" t="s">
        <v>1015</v>
      </c>
      <c r="G8" s="517">
        <v>7</v>
      </c>
      <c r="H8" s="517" t="s">
        <v>850</v>
      </c>
      <c r="I8" s="551"/>
      <c r="N8" s="517"/>
      <c r="O8" s="517"/>
      <c r="P8" s="517"/>
    </row>
    <row r="9" spans="1:16" x14ac:dyDescent="0.35">
      <c r="G9" s="517">
        <v>8</v>
      </c>
      <c r="H9" s="517" t="s">
        <v>851</v>
      </c>
      <c r="I9" s="551"/>
      <c r="N9" s="517"/>
      <c r="O9" s="517"/>
      <c r="P9" s="517"/>
    </row>
    <row r="10" spans="1:16" x14ac:dyDescent="0.35">
      <c r="G10" s="517">
        <v>9</v>
      </c>
      <c r="H10" s="517" t="s">
        <v>852</v>
      </c>
      <c r="I10" s="551"/>
      <c r="N10" s="517"/>
      <c r="O10" s="517"/>
      <c r="P10" s="517"/>
    </row>
    <row r="11" spans="1:16" x14ac:dyDescent="0.35">
      <c r="G11" s="517">
        <v>10</v>
      </c>
      <c r="H11" s="517" t="s">
        <v>853</v>
      </c>
      <c r="I11" s="551"/>
      <c r="N11" s="517"/>
      <c r="O11" s="517"/>
      <c r="P11" s="517"/>
    </row>
    <row r="12" spans="1:16" x14ac:dyDescent="0.35">
      <c r="G12" s="517">
        <v>11</v>
      </c>
      <c r="H12" s="517" t="s">
        <v>854</v>
      </c>
      <c r="I12" s="551"/>
      <c r="N12" s="517"/>
      <c r="O12" s="517"/>
      <c r="P12" s="517"/>
    </row>
    <row r="13" spans="1:16" x14ac:dyDescent="0.35">
      <c r="G13" s="517">
        <v>12</v>
      </c>
      <c r="H13" s="517" t="s">
        <v>855</v>
      </c>
      <c r="I13" s="551"/>
      <c r="N13" s="517"/>
      <c r="O13" s="517"/>
      <c r="P13" s="517"/>
    </row>
    <row r="14" spans="1:16" x14ac:dyDescent="0.35">
      <c r="G14" s="517">
        <v>13</v>
      </c>
      <c r="H14" s="517" t="s">
        <v>856</v>
      </c>
      <c r="I14" s="551"/>
      <c r="N14" s="517"/>
      <c r="O14" s="517"/>
      <c r="P14" s="517"/>
    </row>
    <row r="15" spans="1:16" x14ac:dyDescent="0.35">
      <c r="G15" s="517">
        <v>14</v>
      </c>
      <c r="H15" s="517" t="s">
        <v>857</v>
      </c>
      <c r="I15" s="551"/>
      <c r="N15" s="518"/>
      <c r="O15" s="517"/>
      <c r="P15" s="517"/>
    </row>
    <row r="16" spans="1:16" x14ac:dyDescent="0.35">
      <c r="G16" s="517">
        <v>15</v>
      </c>
      <c r="H16" s="517" t="s">
        <v>858</v>
      </c>
      <c r="I16" s="551"/>
      <c r="N16" s="518"/>
      <c r="O16" s="517"/>
      <c r="P16" s="517"/>
    </row>
    <row r="17" spans="7:16" x14ac:dyDescent="0.35">
      <c r="G17" s="517">
        <v>16</v>
      </c>
      <c r="H17" s="517" t="s">
        <v>859</v>
      </c>
      <c r="I17" s="551"/>
      <c r="N17" s="518"/>
      <c r="O17" s="517"/>
      <c r="P17" s="517"/>
    </row>
    <row r="18" spans="7:16" x14ac:dyDescent="0.35">
      <c r="G18" s="517">
        <v>17</v>
      </c>
      <c r="H18" s="517" t="s">
        <v>860</v>
      </c>
      <c r="I18" s="551"/>
      <c r="N18" s="518"/>
      <c r="O18" s="517"/>
      <c r="P18" s="517"/>
    </row>
    <row r="19" spans="7:16" x14ac:dyDescent="0.35">
      <c r="G19" s="517">
        <v>18</v>
      </c>
      <c r="H19" s="517" t="s">
        <v>861</v>
      </c>
      <c r="I19" s="551"/>
      <c r="N19" s="518"/>
      <c r="O19" s="517"/>
      <c r="P19" s="517"/>
    </row>
    <row r="20" spans="7:16" x14ac:dyDescent="0.35">
      <c r="G20" s="517">
        <v>19</v>
      </c>
      <c r="H20" s="517" t="s">
        <v>862</v>
      </c>
      <c r="I20" s="551"/>
      <c r="N20" s="518"/>
      <c r="O20" s="517"/>
      <c r="P20" s="517"/>
    </row>
    <row r="21" spans="7:16" x14ac:dyDescent="0.35">
      <c r="G21" s="517">
        <v>20</v>
      </c>
      <c r="H21" s="517" t="s">
        <v>863</v>
      </c>
      <c r="I21" s="551"/>
      <c r="N21" s="517"/>
      <c r="O21" s="517"/>
      <c r="P21" s="517"/>
    </row>
    <row r="22" spans="7:16" x14ac:dyDescent="0.35">
      <c r="G22" s="517">
        <v>21</v>
      </c>
      <c r="H22" s="517" t="s">
        <v>864</v>
      </c>
      <c r="I22" s="551"/>
      <c r="N22" s="518"/>
      <c r="O22" s="517"/>
      <c r="P22" s="517"/>
    </row>
    <row r="23" spans="7:16" x14ac:dyDescent="0.35">
      <c r="G23" s="517">
        <v>22</v>
      </c>
      <c r="H23" s="517" t="s">
        <v>865</v>
      </c>
      <c r="I23" s="551"/>
      <c r="N23" s="518"/>
      <c r="O23" s="517"/>
      <c r="P23" s="517"/>
    </row>
    <row r="24" spans="7:16" x14ac:dyDescent="0.35">
      <c r="G24" s="517">
        <v>23</v>
      </c>
      <c r="H24" s="517" t="s">
        <v>866</v>
      </c>
      <c r="I24" s="551"/>
      <c r="N24" s="518"/>
      <c r="O24" s="517"/>
      <c r="P24" s="517"/>
    </row>
    <row r="25" spans="7:16" x14ac:dyDescent="0.35">
      <c r="G25" s="517">
        <v>24</v>
      </c>
      <c r="H25" s="517" t="s">
        <v>867</v>
      </c>
      <c r="I25" s="551"/>
      <c r="N25" s="517"/>
      <c r="O25" s="517"/>
      <c r="P25" s="517"/>
    </row>
    <row r="26" spans="7:16" x14ac:dyDescent="0.35">
      <c r="G26" s="517">
        <v>25</v>
      </c>
      <c r="H26" s="517" t="s">
        <v>868</v>
      </c>
      <c r="I26" s="551"/>
      <c r="N26" s="518"/>
      <c r="O26" s="517"/>
      <c r="P26" s="517"/>
    </row>
    <row r="27" spans="7:16" x14ac:dyDescent="0.35">
      <c r="G27" s="517">
        <v>26</v>
      </c>
      <c r="H27" s="517" t="s">
        <v>869</v>
      </c>
      <c r="I27" s="551"/>
      <c r="N27" s="517"/>
      <c r="O27" s="517"/>
      <c r="P27" s="517"/>
    </row>
    <row r="28" spans="7:16" x14ac:dyDescent="0.35">
      <c r="G28" s="517">
        <v>27</v>
      </c>
      <c r="H28" s="517" t="s">
        <v>870</v>
      </c>
      <c r="I28" s="551"/>
      <c r="N28" s="518"/>
      <c r="O28" s="517"/>
      <c r="P28" s="517"/>
    </row>
    <row r="29" spans="7:16" x14ac:dyDescent="0.35">
      <c r="G29" s="517">
        <v>28</v>
      </c>
      <c r="H29" s="517" t="s">
        <v>871</v>
      </c>
      <c r="I29" s="551"/>
      <c r="N29" s="517"/>
      <c r="O29" s="517"/>
      <c r="P29" s="517"/>
    </row>
    <row r="30" spans="7:16" x14ac:dyDescent="0.35">
      <c r="G30" s="517">
        <v>29</v>
      </c>
      <c r="H30" s="517" t="s">
        <v>872</v>
      </c>
      <c r="I30" s="551"/>
      <c r="N30" s="518"/>
      <c r="O30" s="517"/>
      <c r="P30" s="517"/>
    </row>
    <row r="31" spans="7:16" x14ac:dyDescent="0.35">
      <c r="G31" s="517">
        <v>30</v>
      </c>
      <c r="H31" s="517" t="s">
        <v>873</v>
      </c>
      <c r="I31" s="551"/>
      <c r="N31" s="518"/>
      <c r="O31" s="517"/>
      <c r="P31" s="517"/>
    </row>
    <row r="32" spans="7:16" x14ac:dyDescent="0.35">
      <c r="G32" s="517">
        <v>31</v>
      </c>
      <c r="H32" s="517" t="s">
        <v>874</v>
      </c>
      <c r="I32" s="551"/>
      <c r="N32" s="518"/>
      <c r="O32" s="517"/>
      <c r="P32" s="517"/>
    </row>
    <row r="33" spans="7:16" x14ac:dyDescent="0.35">
      <c r="G33" s="517">
        <v>32</v>
      </c>
      <c r="H33" s="517" t="s">
        <v>875</v>
      </c>
      <c r="I33" s="551"/>
      <c r="N33" s="522"/>
      <c r="O33" s="517"/>
      <c r="P33" s="517"/>
    </row>
    <row r="34" spans="7:16" x14ac:dyDescent="0.35">
      <c r="G34" s="517">
        <v>33</v>
      </c>
      <c r="H34" s="517" t="s">
        <v>876</v>
      </c>
      <c r="I34" s="551"/>
      <c r="N34" s="518"/>
      <c r="O34" s="517"/>
      <c r="P34" s="517"/>
    </row>
    <row r="35" spans="7:16" x14ac:dyDescent="0.35">
      <c r="G35" s="517">
        <v>34</v>
      </c>
      <c r="H35" s="517" t="s">
        <v>877</v>
      </c>
      <c r="I35" s="551"/>
      <c r="N35" s="518"/>
      <c r="O35" s="517"/>
      <c r="P35" s="517"/>
    </row>
    <row r="36" spans="7:16" x14ac:dyDescent="0.35">
      <c r="G36" s="517">
        <v>35</v>
      </c>
      <c r="H36" s="517" t="s">
        <v>878</v>
      </c>
      <c r="I36" s="551"/>
      <c r="N36" s="518"/>
      <c r="O36" s="517"/>
      <c r="P36" s="517"/>
    </row>
    <row r="37" spans="7:16" x14ac:dyDescent="0.35">
      <c r="G37" s="517">
        <v>36</v>
      </c>
      <c r="H37" s="517" t="s">
        <v>879</v>
      </c>
      <c r="I37" s="551"/>
      <c r="N37" s="517"/>
      <c r="O37" s="517"/>
      <c r="P37" s="517"/>
    </row>
    <row r="38" spans="7:16" x14ac:dyDescent="0.35">
      <c r="G38" s="517">
        <v>37</v>
      </c>
      <c r="H38" s="517" t="s">
        <v>880</v>
      </c>
      <c r="I38" s="551"/>
      <c r="N38" s="518"/>
      <c r="O38" s="517"/>
      <c r="P38" s="517"/>
    </row>
    <row r="39" spans="7:16" x14ac:dyDescent="0.35">
      <c r="G39" s="517">
        <v>38</v>
      </c>
      <c r="H39" s="517" t="s">
        <v>881</v>
      </c>
      <c r="I39" s="551"/>
      <c r="N39" s="518"/>
      <c r="O39" s="517"/>
      <c r="P39" s="517"/>
    </row>
    <row r="40" spans="7:16" x14ac:dyDescent="0.35">
      <c r="G40" s="517">
        <v>39</v>
      </c>
      <c r="H40" s="517" t="s">
        <v>882</v>
      </c>
      <c r="I40" s="551"/>
      <c r="N40" s="517"/>
      <c r="O40" s="517"/>
      <c r="P40" s="517"/>
    </row>
    <row r="41" spans="7:16" x14ac:dyDescent="0.35">
      <c r="G41" s="517">
        <v>40</v>
      </c>
      <c r="H41" s="517" t="s">
        <v>883</v>
      </c>
      <c r="I41" s="551"/>
      <c r="N41" s="517"/>
      <c r="O41" s="517"/>
      <c r="P41" s="517"/>
    </row>
    <row r="42" spans="7:16" x14ac:dyDescent="0.35">
      <c r="G42" s="517">
        <v>41</v>
      </c>
      <c r="H42" s="517" t="s">
        <v>884</v>
      </c>
      <c r="I42" s="551"/>
      <c r="N42" s="517"/>
      <c r="O42" s="517"/>
      <c r="P42" s="517"/>
    </row>
    <row r="43" spans="7:16" x14ac:dyDescent="0.35">
      <c r="G43" s="517">
        <v>42</v>
      </c>
      <c r="H43" s="517" t="s">
        <v>885</v>
      </c>
      <c r="I43" s="551"/>
      <c r="N43" s="517"/>
      <c r="O43" s="517"/>
      <c r="P43" s="517"/>
    </row>
    <row r="44" spans="7:16" x14ac:dyDescent="0.35">
      <c r="G44" s="517">
        <v>43</v>
      </c>
      <c r="H44" s="517" t="s">
        <v>886</v>
      </c>
      <c r="I44" s="551"/>
      <c r="N44" s="518"/>
      <c r="O44" s="517"/>
      <c r="P44" s="517"/>
    </row>
    <row r="45" spans="7:16" x14ac:dyDescent="0.35">
      <c r="G45" s="517">
        <v>44</v>
      </c>
      <c r="H45" s="517" t="s">
        <v>887</v>
      </c>
      <c r="I45" s="551"/>
      <c r="N45" s="518"/>
      <c r="O45" s="517"/>
      <c r="P45" s="517"/>
    </row>
    <row r="46" spans="7:16" x14ac:dyDescent="0.35">
      <c r="G46" s="517">
        <v>45</v>
      </c>
      <c r="H46" s="517" t="s">
        <v>888</v>
      </c>
      <c r="I46" s="551"/>
      <c r="N46" s="518"/>
      <c r="O46" s="517"/>
      <c r="P46" s="517"/>
    </row>
    <row r="47" spans="7:16" x14ac:dyDescent="0.35">
      <c r="G47" s="517">
        <v>46</v>
      </c>
      <c r="H47" s="517" t="s">
        <v>889</v>
      </c>
      <c r="I47" s="551"/>
      <c r="N47" s="518"/>
      <c r="O47" s="517"/>
      <c r="P47" s="517"/>
    </row>
    <row r="48" spans="7:16" x14ac:dyDescent="0.35">
      <c r="G48" s="517">
        <v>47</v>
      </c>
      <c r="H48" s="517" t="s">
        <v>890</v>
      </c>
      <c r="I48" s="551"/>
      <c r="N48" s="518"/>
      <c r="O48" s="517"/>
      <c r="P48" s="517"/>
    </row>
    <row r="49" spans="7:16" x14ac:dyDescent="0.35">
      <c r="G49" s="517">
        <v>48</v>
      </c>
      <c r="H49" s="517" t="s">
        <v>891</v>
      </c>
      <c r="I49" s="551"/>
      <c r="N49" s="518"/>
      <c r="O49" s="517"/>
      <c r="P49" s="517"/>
    </row>
    <row r="50" spans="7:16" x14ac:dyDescent="0.35">
      <c r="G50" s="517">
        <v>49</v>
      </c>
      <c r="H50" s="517" t="s">
        <v>892</v>
      </c>
      <c r="I50" s="551"/>
      <c r="N50" s="518"/>
      <c r="O50" s="517"/>
      <c r="P50" s="517"/>
    </row>
    <row r="51" spans="7:16" x14ac:dyDescent="0.35">
      <c r="G51" s="517">
        <v>50</v>
      </c>
      <c r="H51" s="517" t="s">
        <v>893</v>
      </c>
      <c r="I51" s="551"/>
      <c r="N51" s="518"/>
      <c r="O51" s="517"/>
      <c r="P51" s="517"/>
    </row>
    <row r="52" spans="7:16" x14ac:dyDescent="0.35">
      <c r="G52" s="517">
        <v>51</v>
      </c>
      <c r="H52" s="517" t="s">
        <v>894</v>
      </c>
      <c r="I52" s="551"/>
      <c r="N52" s="518"/>
      <c r="O52" s="517"/>
      <c r="P52" s="517"/>
    </row>
    <row r="53" spans="7:16" x14ac:dyDescent="0.35">
      <c r="G53" s="517">
        <v>52</v>
      </c>
      <c r="H53" s="517" t="s">
        <v>895</v>
      </c>
      <c r="I53" s="551"/>
      <c r="N53" s="518"/>
      <c r="O53" s="517"/>
      <c r="P53" s="517"/>
    </row>
    <row r="54" spans="7:16" x14ac:dyDescent="0.35">
      <c r="G54" s="517">
        <v>53</v>
      </c>
      <c r="H54" s="517" t="s">
        <v>896</v>
      </c>
      <c r="I54" s="551"/>
      <c r="N54" s="518"/>
      <c r="O54" s="517"/>
      <c r="P54" s="517"/>
    </row>
    <row r="55" spans="7:16" x14ac:dyDescent="0.35">
      <c r="G55" s="517">
        <v>54</v>
      </c>
      <c r="H55" s="517" t="s">
        <v>897</v>
      </c>
      <c r="I55" s="551"/>
      <c r="N55" s="518"/>
      <c r="O55" s="517"/>
      <c r="P55" s="517"/>
    </row>
    <row r="56" spans="7:16" x14ac:dyDescent="0.35">
      <c r="G56" s="517">
        <v>55</v>
      </c>
      <c r="H56" s="517" t="s">
        <v>898</v>
      </c>
      <c r="I56" s="551"/>
      <c r="N56" s="517"/>
      <c r="O56" s="517"/>
      <c r="P56" s="517"/>
    </row>
    <row r="57" spans="7:16" x14ac:dyDescent="0.35">
      <c r="G57" s="517">
        <v>56</v>
      </c>
      <c r="H57" s="517" t="s">
        <v>899</v>
      </c>
      <c r="I57" s="551"/>
      <c r="N57" s="517"/>
      <c r="O57" s="517"/>
      <c r="P57" s="517"/>
    </row>
    <row r="58" spans="7:16" x14ac:dyDescent="0.35">
      <c r="G58" s="517">
        <v>57</v>
      </c>
      <c r="H58" s="517" t="s">
        <v>900</v>
      </c>
      <c r="I58" s="551"/>
      <c r="N58" s="518"/>
      <c r="O58" s="517"/>
      <c r="P58" s="517"/>
    </row>
    <row r="59" spans="7:16" x14ac:dyDescent="0.35">
      <c r="G59" s="517">
        <v>58</v>
      </c>
      <c r="H59" s="517" t="s">
        <v>901</v>
      </c>
      <c r="I59" s="551"/>
      <c r="N59" s="517"/>
      <c r="O59" s="517"/>
      <c r="P59" s="517"/>
    </row>
    <row r="60" spans="7:16" x14ac:dyDescent="0.35">
      <c r="G60" s="517">
        <v>59</v>
      </c>
      <c r="H60" s="517" t="s">
        <v>902</v>
      </c>
      <c r="I60" s="551"/>
      <c r="N60" s="518"/>
      <c r="O60" s="517"/>
      <c r="P60" s="517"/>
    </row>
    <row r="61" spans="7:16" x14ac:dyDescent="0.35">
      <c r="G61" s="517">
        <v>60</v>
      </c>
      <c r="H61" s="517" t="s">
        <v>903</v>
      </c>
      <c r="I61" s="551"/>
      <c r="N61" s="518"/>
      <c r="O61" s="517"/>
      <c r="P61" s="517"/>
    </row>
    <row r="62" spans="7:16" x14ac:dyDescent="0.35">
      <c r="G62" s="517">
        <v>61</v>
      </c>
      <c r="H62" s="517" t="s">
        <v>904</v>
      </c>
      <c r="I62" s="551"/>
      <c r="N62" s="517"/>
      <c r="O62" s="517"/>
      <c r="P62" s="517"/>
    </row>
    <row r="63" spans="7:16" x14ac:dyDescent="0.35">
      <c r="G63" s="517">
        <v>62</v>
      </c>
      <c r="H63" s="517" t="s">
        <v>905</v>
      </c>
      <c r="I63" s="551"/>
      <c r="N63" s="518"/>
      <c r="O63" s="517"/>
      <c r="P63" s="517"/>
    </row>
    <row r="64" spans="7:16" x14ac:dyDescent="0.35">
      <c r="G64" s="517">
        <v>63</v>
      </c>
      <c r="H64" s="517" t="s">
        <v>906</v>
      </c>
      <c r="I64" s="551"/>
      <c r="N64" s="518"/>
      <c r="O64" s="517"/>
      <c r="P64" s="517"/>
    </row>
    <row r="65" spans="7:16" x14ac:dyDescent="0.35">
      <c r="G65" s="517">
        <v>64</v>
      </c>
      <c r="H65" s="517" t="s">
        <v>907</v>
      </c>
      <c r="I65" s="551"/>
      <c r="N65" s="518"/>
      <c r="O65" s="517"/>
      <c r="P65" s="517"/>
    </row>
    <row r="66" spans="7:16" x14ac:dyDescent="0.35">
      <c r="G66" s="517">
        <v>65</v>
      </c>
      <c r="H66" s="517" t="s">
        <v>908</v>
      </c>
      <c r="I66" s="551"/>
      <c r="N66" s="518"/>
      <c r="O66" s="517"/>
      <c r="P66" s="517"/>
    </row>
    <row r="67" spans="7:16" x14ac:dyDescent="0.35">
      <c r="G67" s="517">
        <v>66</v>
      </c>
      <c r="H67" s="517" t="s">
        <v>909</v>
      </c>
      <c r="I67" s="551"/>
      <c r="N67" s="517"/>
      <c r="O67" s="517"/>
      <c r="P67" s="517"/>
    </row>
    <row r="68" spans="7:16" x14ac:dyDescent="0.35">
      <c r="G68" s="517">
        <v>67</v>
      </c>
      <c r="H68" s="517" t="s">
        <v>910</v>
      </c>
      <c r="I68" s="551"/>
      <c r="N68" s="518"/>
      <c r="O68" s="517"/>
      <c r="P68" s="517"/>
    </row>
    <row r="69" spans="7:16" x14ac:dyDescent="0.35">
      <c r="G69" s="517">
        <v>68</v>
      </c>
      <c r="H69" s="517" t="s">
        <v>911</v>
      </c>
      <c r="I69" s="551"/>
      <c r="N69" s="518"/>
      <c r="O69" s="517"/>
      <c r="P69" s="517"/>
    </row>
    <row r="70" spans="7:16" x14ac:dyDescent="0.35">
      <c r="G70" s="517">
        <v>69</v>
      </c>
      <c r="H70" s="517" t="s">
        <v>912</v>
      </c>
      <c r="I70" s="551"/>
      <c r="N70" s="518"/>
      <c r="O70" s="517"/>
      <c r="P70" s="517"/>
    </row>
    <row r="71" spans="7:16" x14ac:dyDescent="0.35">
      <c r="G71" s="517">
        <v>70</v>
      </c>
      <c r="H71" s="517" t="s">
        <v>913</v>
      </c>
      <c r="I71" s="551"/>
      <c r="N71" s="518"/>
      <c r="O71" s="517"/>
      <c r="P71" s="517"/>
    </row>
    <row r="72" spans="7:16" x14ac:dyDescent="0.35">
      <c r="G72" s="517">
        <v>71</v>
      </c>
      <c r="H72" s="517" t="s">
        <v>914</v>
      </c>
      <c r="I72" s="551"/>
      <c r="N72" s="518"/>
      <c r="O72" s="517"/>
      <c r="P72" s="517"/>
    </row>
    <row r="73" spans="7:16" x14ac:dyDescent="0.35">
      <c r="G73" s="517">
        <v>72</v>
      </c>
      <c r="H73" s="517" t="s">
        <v>915</v>
      </c>
      <c r="I73" s="551"/>
      <c r="N73" s="518"/>
      <c r="O73" s="517"/>
      <c r="P73" s="517"/>
    </row>
    <row r="74" spans="7:16" x14ac:dyDescent="0.35">
      <c r="G74" s="517">
        <v>73</v>
      </c>
      <c r="H74" s="517" t="s">
        <v>916</v>
      </c>
      <c r="I74" s="551"/>
      <c r="N74" s="517"/>
      <c r="O74" s="517"/>
      <c r="P74" s="517"/>
    </row>
    <row r="75" spans="7:16" x14ac:dyDescent="0.35">
      <c r="G75" s="517">
        <v>74</v>
      </c>
      <c r="H75" s="517" t="s">
        <v>917</v>
      </c>
      <c r="I75" s="551"/>
      <c r="N75" s="517"/>
      <c r="O75" s="517"/>
      <c r="P75" s="517"/>
    </row>
    <row r="76" spans="7:16" x14ac:dyDescent="0.35">
      <c r="G76" s="517">
        <v>75</v>
      </c>
      <c r="H76" s="517" t="s">
        <v>918</v>
      </c>
      <c r="I76" s="551"/>
    </row>
    <row r="77" spans="7:16" x14ac:dyDescent="0.35">
      <c r="G77" s="517">
        <v>76</v>
      </c>
      <c r="H77" s="517" t="s">
        <v>919</v>
      </c>
      <c r="I77" s="551"/>
    </row>
    <row r="78" spans="7:16" x14ac:dyDescent="0.35">
      <c r="G78" s="517">
        <v>77</v>
      </c>
      <c r="H78" s="517" t="s">
        <v>920</v>
      </c>
      <c r="I78" s="551"/>
    </row>
    <row r="79" spans="7:16" x14ac:dyDescent="0.35">
      <c r="G79" s="517">
        <v>78</v>
      </c>
      <c r="H79" s="517" t="s">
        <v>921</v>
      </c>
      <c r="I79" s="551"/>
    </row>
    <row r="80" spans="7:16" x14ac:dyDescent="0.35">
      <c r="G80" s="517">
        <v>79</v>
      </c>
      <c r="H80" s="517" t="s">
        <v>922</v>
      </c>
      <c r="I80" s="551"/>
    </row>
    <row r="81" spans="7:9" x14ac:dyDescent="0.35">
      <c r="G81" s="517">
        <v>80</v>
      </c>
      <c r="H81" s="517" t="s">
        <v>923</v>
      </c>
      <c r="I81" s="551"/>
    </row>
    <row r="82" spans="7:9" x14ac:dyDescent="0.35">
      <c r="G82" s="517">
        <v>81</v>
      </c>
      <c r="H82" s="517" t="s">
        <v>924</v>
      </c>
      <c r="I82" s="551"/>
    </row>
    <row r="83" spans="7:9" x14ac:dyDescent="0.35">
      <c r="G83" s="517">
        <v>82</v>
      </c>
      <c r="H83" s="517" t="s">
        <v>925</v>
      </c>
      <c r="I83" s="551"/>
    </row>
    <row r="84" spans="7:9" x14ac:dyDescent="0.35">
      <c r="G84" s="517">
        <v>83</v>
      </c>
      <c r="H84" s="517" t="s">
        <v>926</v>
      </c>
      <c r="I84" s="551"/>
    </row>
    <row r="85" spans="7:9" x14ac:dyDescent="0.35">
      <c r="G85" s="517">
        <v>84</v>
      </c>
      <c r="H85" s="517" t="s">
        <v>927</v>
      </c>
      <c r="I85" s="551"/>
    </row>
    <row r="86" spans="7:9" x14ac:dyDescent="0.35">
      <c r="G86" s="517">
        <v>85</v>
      </c>
      <c r="H86" s="517" t="s">
        <v>928</v>
      </c>
      <c r="I86" s="551"/>
    </row>
    <row r="87" spans="7:9" x14ac:dyDescent="0.35">
      <c r="G87" s="517">
        <v>86</v>
      </c>
      <c r="H87" s="517" t="s">
        <v>929</v>
      </c>
      <c r="I87" s="551"/>
    </row>
    <row r="88" spans="7:9" x14ac:dyDescent="0.35">
      <c r="G88" s="517">
        <v>87</v>
      </c>
      <c r="H88" s="517" t="s">
        <v>930</v>
      </c>
      <c r="I88" s="551"/>
    </row>
    <row r="89" spans="7:9" x14ac:dyDescent="0.35">
      <c r="G89" s="517">
        <v>88</v>
      </c>
      <c r="H89" s="517" t="s">
        <v>931</v>
      </c>
      <c r="I89" s="551"/>
    </row>
    <row r="90" spans="7:9" x14ac:dyDescent="0.35">
      <c r="G90" s="517">
        <v>89</v>
      </c>
      <c r="H90" s="517" t="s">
        <v>932</v>
      </c>
      <c r="I90" s="551"/>
    </row>
    <row r="91" spans="7:9" x14ac:dyDescent="0.35">
      <c r="G91" s="517">
        <v>90</v>
      </c>
      <c r="H91" s="517" t="s">
        <v>933</v>
      </c>
      <c r="I91" s="551"/>
    </row>
    <row r="92" spans="7:9" x14ac:dyDescent="0.35">
      <c r="G92" s="517">
        <v>91</v>
      </c>
      <c r="H92" s="517" t="s">
        <v>934</v>
      </c>
      <c r="I92" s="551"/>
    </row>
    <row r="93" spans="7:9" x14ac:dyDescent="0.35">
      <c r="G93" s="517">
        <v>92</v>
      </c>
      <c r="H93" s="517" t="s">
        <v>935</v>
      </c>
      <c r="I93" s="551"/>
    </row>
    <row r="94" spans="7:9" x14ac:dyDescent="0.35">
      <c r="G94" s="517">
        <v>93</v>
      </c>
      <c r="H94" s="517" t="s">
        <v>936</v>
      </c>
      <c r="I94" s="551"/>
    </row>
    <row r="95" spans="7:9" x14ac:dyDescent="0.35">
      <c r="G95" s="517">
        <v>94</v>
      </c>
      <c r="H95" s="517" t="s">
        <v>937</v>
      </c>
      <c r="I95" s="551"/>
    </row>
    <row r="96" spans="7:9" x14ac:dyDescent="0.35">
      <c r="G96" s="517">
        <v>95</v>
      </c>
      <c r="H96" s="517" t="s">
        <v>938</v>
      </c>
      <c r="I96" s="551"/>
    </row>
    <row r="97" spans="7:9" x14ac:dyDescent="0.35">
      <c r="G97" s="517">
        <v>96</v>
      </c>
      <c r="H97" s="517" t="s">
        <v>939</v>
      </c>
      <c r="I97" s="551"/>
    </row>
    <row r="98" spans="7:9" x14ac:dyDescent="0.35">
      <c r="G98" s="517">
        <v>97</v>
      </c>
      <c r="H98" s="517" t="s">
        <v>940</v>
      </c>
      <c r="I98" s="55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4.59765625" style="45" customWidth="1"/>
    <col min="5" max="5" width="17.73046875" style="45" customWidth="1"/>
    <col min="6" max="7" width="18.73046875" style="45" customWidth="1"/>
    <col min="8" max="11" width="9.1328125" style="45"/>
    <col min="12" max="21" width="0" style="45" hidden="1" customWidth="1"/>
    <col min="22" max="16384" width="9.1328125" style="45"/>
  </cols>
  <sheetData>
    <row r="1" spans="1:25 4305:4305" x14ac:dyDescent="0.35">
      <c r="A1" s="585"/>
      <c r="J1" s="185"/>
      <c r="K1" s="185"/>
      <c r="L1" s="544" t="s">
        <v>827</v>
      </c>
      <c r="M1" s="544" t="s">
        <v>835</v>
      </c>
      <c r="N1" s="544" t="s">
        <v>828</v>
      </c>
      <c r="O1" s="544"/>
      <c r="P1" s="544"/>
      <c r="Q1" s="544"/>
      <c r="R1" s="544"/>
      <c r="S1" s="544" t="s">
        <v>836</v>
      </c>
      <c r="T1" s="544" t="s">
        <v>837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"&amp;__2_AchterNaam&amp;", "&amp;__3_VoorNaam</f>
        <v>Patient: Test, Test</v>
      </c>
      <c r="C2" s="174"/>
      <c r="D2" s="132"/>
      <c r="E2" s="177" t="str">
        <f ca="1">"Geschatte lengte: "&amp;VLOOKUP(C5+D5/12,PedTblLengte!A2:D45,4)&amp;" cm"</f>
        <v>Geschatte lengte: 52,95 cm</v>
      </c>
      <c r="F2" s="132"/>
      <c r="G2" s="140"/>
      <c r="H2" s="46"/>
      <c r="I2" s="46"/>
      <c r="J2" s="185"/>
      <c r="K2" s="185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__4_GebDatum</f>
        <v>42736</v>
      </c>
      <c r="D3" s="132"/>
      <c r="E3" s="177" t="str">
        <f ca="1">"Geschat gewicht: "&amp;VLOOKUP(C5+D5/12,PedTblGew!A2:T49,20)&amp;" kg"</f>
        <v>Geschat gewicht: 3,785 kg</v>
      </c>
      <c r="F3" s="170"/>
      <c r="G3" s="140"/>
      <c r="H3" s="46"/>
      <c r="I3" s="46"/>
      <c r="J3" s="185"/>
      <c r="K3" s="185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449</v>
      </c>
      <c r="D4" s="172" t="s">
        <v>450</v>
      </c>
      <c r="E4" s="172" t="s">
        <v>297</v>
      </c>
      <c r="F4" s="172" t="s">
        <v>142</v>
      </c>
      <c r="G4" s="172" t="s">
        <v>53</v>
      </c>
      <c r="H4" s="46"/>
      <c r="J4" s="186"/>
      <c r="K4" s="186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 ca="1">TRUNC((Var_AfspraakDatum-__4_GebDatum)/365,0)</f>
        <v>0</v>
      </c>
      <c r="D5" s="172">
        <f ca="1">TRUNC(((Var_AfspraakDatum-__4_GebDatum)-365*TRUNC((Var_AfspraakDatum-__4_GebDatum)/365,0))/30,0)</f>
        <v>0</v>
      </c>
      <c r="E5" s="172">
        <f>_Pat_Gewicht/10</f>
        <v>10</v>
      </c>
      <c r="F5" s="172">
        <f>_Pat_Lengte</f>
        <v>80</v>
      </c>
      <c r="G5" s="172">
        <f>ROUND(POWER(E5,0.425)*POWER(((F5/100)*100),0.725)*0.007184,2)</f>
        <v>0.46</v>
      </c>
      <c r="H5" s="46"/>
      <c r="J5" s="186"/>
      <c r="K5" s="186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186"/>
      <c r="K6" s="186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338</v>
      </c>
      <c r="C7" s="178" t="s">
        <v>54</v>
      </c>
      <c r="D7" s="179" t="str">
        <f ca="1">"Maat: "&amp;VLOOKUP(C5,L2:N20,3)&amp;", Lengte: "&amp;IF(C5&gt;1,ROUND((C5/2+15)/2,0)*2,IF(C5=0,12,15))&amp;" cm"&amp;" nasaal, "&amp;ROUND((C5/2+12)/2,0)*2&amp;" cm oraal"</f>
        <v>Maat: 3,5, Lengte: 12 cm nasaal, 12 cm oraal</v>
      </c>
      <c r="E7" s="180"/>
      <c r="F7" s="180"/>
      <c r="G7" s="239"/>
      <c r="H7" s="46"/>
      <c r="I7" s="46"/>
      <c r="J7" s="185"/>
      <c r="K7" s="185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 t="s">
        <v>55</v>
      </c>
      <c r="D8" s="47" t="str">
        <f>IF(ROUND((E5)*4,0)&gt;150,150,VLOOKUP(ROUND(E5*4,0),S2:T362,2))&amp;" Joules Asynchroon"</f>
        <v>50 Joules Asynchroon</v>
      </c>
      <c r="E8" s="46"/>
      <c r="F8" s="46"/>
      <c r="G8" s="240" t="s">
        <v>0</v>
      </c>
      <c r="H8" s="46"/>
      <c r="I8" s="46"/>
      <c r="J8" s="185"/>
      <c r="K8" s="185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 t="s">
        <v>132</v>
      </c>
      <c r="D9" s="47" t="str">
        <f ca="1">IF(OR(ROUND(0.01*(E5),2)&gt;1,C5&gt;=18),"1 mg iv",ROUND(0.01*(E5),2)&amp;" mg iv")</f>
        <v>0,1 mg iv</v>
      </c>
      <c r="E9" s="46" t="str">
        <f>"= "&amp;IF(ROUND(0.01*(E5),2)&gt;1,"1 ml van 1mg = 10 ml (1:10.000)",ROUND(0.1*(E5),1)&amp;" ml van 1mg = 10 ml (1:10.000)")</f>
        <v>= 1 ml van 1mg = 10 ml (1:10.000)</v>
      </c>
      <c r="F9" s="46"/>
      <c r="G9" s="240" t="s">
        <v>1</v>
      </c>
      <c r="H9" s="46"/>
      <c r="I9" s="46"/>
      <c r="J9" s="185"/>
      <c r="K9" s="185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56</v>
      </c>
      <c r="D10" s="47" t="str">
        <f>ROUND(IF(E5&gt;50,50,0.5*E5),0)&amp;" ml iv"</f>
        <v>5 ml iv</v>
      </c>
      <c r="E10" s="46"/>
      <c r="F10" s="46"/>
      <c r="G10" s="240" t="s">
        <v>2</v>
      </c>
      <c r="H10" s="46"/>
      <c r="I10" s="46"/>
      <c r="J10" s="185"/>
      <c r="K10" s="185"/>
      <c r="L10" s="544">
        <v>8</v>
      </c>
      <c r="M10" s="544">
        <v>20</v>
      </c>
      <c r="N10" s="544">
        <v>6</v>
      </c>
      <c r="O10" s="544">
        <v>8</v>
      </c>
      <c r="P10" s="544">
        <v>8.5</v>
      </c>
      <c r="Q10" s="544">
        <v>70</v>
      </c>
      <c r="R10" s="544"/>
      <c r="S10" s="544">
        <v>9</v>
      </c>
      <c r="T10" s="544">
        <v>7</v>
      </c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207</v>
      </c>
      <c r="D11" s="47" t="str">
        <f>IF(0.2*E5&lt;=25,0.2*E5&amp;" gram iv","25 gram iv")</f>
        <v>2 gram iv</v>
      </c>
      <c r="E11" s="46" t="str">
        <f>"="&amp;" "&amp;IF(2*E5&lt;=250,ROUND(2*E5,0)&amp;" ml glucose 10%","250 ml glucose 10%")</f>
        <v>= 20 ml glucose 10%</v>
      </c>
      <c r="F11" s="46"/>
      <c r="G11" s="240" t="s">
        <v>3</v>
      </c>
      <c r="H11" s="46"/>
      <c r="I11" s="46"/>
      <c r="J11" s="185"/>
      <c r="K11" s="185"/>
      <c r="L11" s="544">
        <v>9</v>
      </c>
      <c r="M11" s="544">
        <v>20</v>
      </c>
      <c r="N11" s="544">
        <v>6.5</v>
      </c>
      <c r="O11" s="544">
        <v>9</v>
      </c>
      <c r="P11" s="544">
        <v>9</v>
      </c>
      <c r="Q11" s="544">
        <v>72</v>
      </c>
      <c r="R11" s="544"/>
      <c r="S11" s="544">
        <v>10</v>
      </c>
      <c r="T11" s="544">
        <v>10</v>
      </c>
      <c r="U11" s="544">
        <v>10</v>
      </c>
      <c r="V11" s="544"/>
      <c r="W11" s="544"/>
      <c r="X11" s="544"/>
      <c r="Y11" s="185"/>
    </row>
    <row r="12" spans="1:25 4305:4305" ht="20.100000000000001" customHeight="1" thickBot="1" x14ac:dyDescent="0.45">
      <c r="B12" s="163"/>
      <c r="C12" s="181" t="s">
        <v>57</v>
      </c>
      <c r="D12" s="182" t="str">
        <f>IF(ROUND(20*E5/10,0)*10&gt;500,500,ROUND(20*E5/10,0)*10)&amp;" ml fysiologisch zout iv per bolus"</f>
        <v>200 ml fysiologisch zout iv per bolus</v>
      </c>
      <c r="E12" s="183"/>
      <c r="F12" s="183"/>
      <c r="G12" s="241" t="s">
        <v>4</v>
      </c>
      <c r="H12" s="46"/>
      <c r="I12" s="46"/>
      <c r="J12" s="185"/>
      <c r="K12" s="185"/>
      <c r="L12" s="544">
        <v>10</v>
      </c>
      <c r="M12" s="544">
        <v>20</v>
      </c>
      <c r="N12" s="544">
        <v>6.5</v>
      </c>
      <c r="O12" s="544">
        <v>10</v>
      </c>
      <c r="P12" s="544">
        <v>9.3000000000000007</v>
      </c>
      <c r="Q12" s="544">
        <v>73</v>
      </c>
      <c r="R12" s="544"/>
      <c r="S12" s="544">
        <v>11</v>
      </c>
      <c r="T12" s="544">
        <v>10</v>
      </c>
      <c r="U12" s="544"/>
      <c r="V12" s="544"/>
      <c r="W12" s="544"/>
      <c r="X12" s="544"/>
      <c r="Y12" s="185"/>
    </row>
    <row r="13" spans="1:25 4305:4305" ht="20.100000000000001" customHeight="1" thickBot="1" x14ac:dyDescent="0.45">
      <c r="B13" s="24"/>
      <c r="C13" s="46"/>
      <c r="D13" s="47"/>
      <c r="E13" s="46"/>
      <c r="F13" s="46"/>
      <c r="G13" s="240"/>
      <c r="H13" s="46"/>
      <c r="I13" s="46"/>
      <c r="J13" s="185"/>
      <c r="K13" s="185"/>
      <c r="L13" s="544">
        <v>11</v>
      </c>
      <c r="M13" s="544">
        <v>20</v>
      </c>
      <c r="N13" s="544">
        <v>7</v>
      </c>
      <c r="O13" s="544">
        <v>11</v>
      </c>
      <c r="P13" s="544">
        <v>9.5</v>
      </c>
      <c r="Q13" s="544">
        <v>74</v>
      </c>
      <c r="R13" s="544"/>
      <c r="S13" s="544">
        <v>12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 t="s">
        <v>406</v>
      </c>
      <c r="C14" s="178" t="s">
        <v>347</v>
      </c>
      <c r="D14" s="179" t="str">
        <f>IF(0.5*E5&gt;20,"20 mg iv",0.5*E5&amp;" mg iv")</f>
        <v>5 mg iv</v>
      </c>
      <c r="E14" s="180" t="str">
        <f>"= "&amp;IF(0.5*E5&gt;20,"10 ml van een 2 mg/ml oplossing",ROUND(0.5*E5*0.5,1)&amp;" ml van een 2 mg/ml oplossing")</f>
        <v>= 2,5 ml van een 2 mg/ml oplossing</v>
      </c>
      <c r="F14" s="180"/>
      <c r="G14" s="239" t="s">
        <v>5</v>
      </c>
      <c r="H14" s="46"/>
      <c r="I14" s="46"/>
      <c r="J14" s="185"/>
      <c r="K14" s="185"/>
      <c r="L14" s="544">
        <v>12</v>
      </c>
      <c r="M14" s="544">
        <v>15</v>
      </c>
      <c r="N14" s="544">
        <v>7</v>
      </c>
      <c r="O14" s="544">
        <v>12</v>
      </c>
      <c r="P14" s="544">
        <v>10</v>
      </c>
      <c r="Q14" s="544">
        <v>76</v>
      </c>
      <c r="R14" s="544"/>
      <c r="S14" s="544">
        <v>13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x14ac:dyDescent="0.4">
      <c r="B15" s="163"/>
      <c r="C15" s="162" t="s">
        <v>296</v>
      </c>
      <c r="D15" s="47" t="str">
        <f>IF(ROUND(1*(E5),1)&gt;100,"100 mg iv",ROUND(1*(E5),1)&amp;" mg iv")</f>
        <v>10 mg iv</v>
      </c>
      <c r="E15" s="46" t="str">
        <f>"= "&amp;IF(ROUND(1*(E5),1)&gt;100,"10 ml"&amp;" van een 1mg/ml oplossing",ROUND(0.1*(E5),1)&amp;" ml"&amp;" van een 10 mg/ml oplossing")</f>
        <v>= 1 ml van een 10 mg/ml oplossing</v>
      </c>
      <c r="F15" s="46"/>
      <c r="G15" s="240" t="s">
        <v>6</v>
      </c>
      <c r="H15" s="46"/>
      <c r="I15" s="46"/>
      <c r="J15" s="185"/>
      <c r="K15" s="185"/>
      <c r="L15" s="544">
        <v>13</v>
      </c>
      <c r="M15" s="544">
        <v>15</v>
      </c>
      <c r="N15" s="544">
        <v>7</v>
      </c>
      <c r="O15" s="544"/>
      <c r="P15" s="544"/>
      <c r="Q15" s="544"/>
      <c r="R15" s="544"/>
      <c r="S15" s="544">
        <v>14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x14ac:dyDescent="0.4">
      <c r="B16" s="163"/>
      <c r="C16" s="162" t="s">
        <v>348</v>
      </c>
      <c r="D16" s="47" t="str">
        <f>IF(ROUND(0.02*(E5),1)&lt;0.1,"0,1 mg iv",IF(ROUND(0.02*(E5),1)&gt;0.5,"0,5 mg iv",ROUND(0.02*(E5),1)&amp;" mg iv"))</f>
        <v>0,2 mg iv</v>
      </c>
      <c r="E16" s="874" t="str">
        <f>"= "&amp;IF(ROUND(0.02*(E5),1)&lt;0.1,0.1,IF(ROUND(0.02*(E5),1)&gt;0.5,0.5,ROUND(0.02*(E5),1)))*2&amp;" ml van 0,5 mg/ml (min 0,1 mg)"</f>
        <v>= 0,4 ml van 0,5 mg/ml (min 0,1 mg)</v>
      </c>
      <c r="F16" s="874"/>
      <c r="G16" s="240" t="s">
        <v>7</v>
      </c>
      <c r="H16" s="46"/>
      <c r="I16" s="46"/>
      <c r="J16" s="185"/>
      <c r="K16" s="185"/>
      <c r="L16" s="544">
        <v>14</v>
      </c>
      <c r="M16" s="544">
        <v>15</v>
      </c>
      <c r="N16" s="544">
        <v>7</v>
      </c>
      <c r="O16" s="544"/>
      <c r="P16" s="544"/>
      <c r="Q16" s="544"/>
      <c r="R16" s="544"/>
      <c r="S16" s="544">
        <v>15</v>
      </c>
      <c r="T16" s="544">
        <v>10</v>
      </c>
      <c r="U16" s="544"/>
      <c r="V16" s="544"/>
      <c r="W16" s="544"/>
      <c r="X16" s="544"/>
      <c r="Y16" s="185"/>
    </row>
    <row r="17" spans="2:25" ht="20.100000000000001" customHeight="1" thickBot="1" x14ac:dyDescent="0.45">
      <c r="B17" s="163"/>
      <c r="C17" s="181"/>
      <c r="D17" s="182"/>
      <c r="E17" s="875"/>
      <c r="F17" s="875"/>
      <c r="G17" s="241"/>
      <c r="H17" s="46"/>
      <c r="I17" s="46"/>
      <c r="J17" s="185"/>
      <c r="K17" s="185"/>
      <c r="L17" s="544">
        <v>15</v>
      </c>
      <c r="M17" s="544">
        <v>15</v>
      </c>
      <c r="N17" s="544">
        <v>7</v>
      </c>
      <c r="O17" s="544"/>
      <c r="P17" s="544"/>
      <c r="Q17" s="544"/>
      <c r="R17" s="544"/>
      <c r="S17" s="544">
        <v>16</v>
      </c>
      <c r="T17" s="544">
        <v>20</v>
      </c>
      <c r="U17" s="544"/>
      <c r="V17" s="544"/>
      <c r="W17" s="544"/>
      <c r="X17" s="544"/>
      <c r="Y17" s="185"/>
    </row>
    <row r="18" spans="2:25" ht="15.75" customHeight="1" thickBot="1" x14ac:dyDescent="0.45">
      <c r="B18" s="24"/>
      <c r="C18" s="143"/>
      <c r="D18" s="47"/>
      <c r="E18" s="173"/>
      <c r="F18" s="173"/>
      <c r="G18" s="240"/>
      <c r="H18" s="171"/>
      <c r="I18" s="171"/>
      <c r="J18" s="187"/>
      <c r="K18" s="185"/>
      <c r="L18" s="544">
        <v>16</v>
      </c>
      <c r="M18" s="544">
        <v>15</v>
      </c>
      <c r="N18" s="544">
        <v>7</v>
      </c>
      <c r="O18" s="544"/>
      <c r="P18" s="544"/>
      <c r="Q18" s="544"/>
      <c r="R18" s="544"/>
      <c r="S18" s="544">
        <v>17</v>
      </c>
      <c r="T18" s="544">
        <v>20</v>
      </c>
      <c r="U18" s="544"/>
      <c r="V18" s="544"/>
      <c r="W18" s="544"/>
      <c r="X18" s="544"/>
      <c r="Y18" s="185"/>
    </row>
    <row r="19" spans="2:25" ht="20.100000000000001" customHeight="1" x14ac:dyDescent="0.4">
      <c r="B19" s="163" t="s">
        <v>291</v>
      </c>
      <c r="C19" s="178" t="s">
        <v>98</v>
      </c>
      <c r="D19" s="179" t="str">
        <f>IF(0.02*E5&gt;0.3,"0,3 mg iv",0.02*E5&amp;" mg iv")</f>
        <v>0,2 mg iv</v>
      </c>
      <c r="E19" s="180" t="str">
        <f>"= "&amp;IF(0.02*E5&gt;1,"10 ml van anexate 0,1 mg/ml",ROUND((0.02*E5)/0.1,1)&amp;" ml van anexate 0,1 mg/ml")</f>
        <v>= 2 ml van anexate 0,1 mg/ml</v>
      </c>
      <c r="F19" s="180"/>
      <c r="G19" s="239" t="s">
        <v>8</v>
      </c>
      <c r="H19" s="171"/>
      <c r="I19" s="171"/>
      <c r="J19" s="187"/>
      <c r="K19" s="185"/>
      <c r="L19" s="544">
        <v>17</v>
      </c>
      <c r="M19" s="544">
        <v>15</v>
      </c>
      <c r="N19" s="544">
        <v>7</v>
      </c>
      <c r="O19" s="544"/>
      <c r="P19" s="544"/>
      <c r="Q19" s="544"/>
      <c r="R19" s="544"/>
      <c r="S19" s="544">
        <v>18</v>
      </c>
      <c r="T19" s="544">
        <v>20</v>
      </c>
      <c r="U19" s="544"/>
      <c r="V19" s="544"/>
      <c r="W19" s="544"/>
      <c r="X19" s="544"/>
      <c r="Y19" s="185"/>
    </row>
    <row r="20" spans="2:25" ht="20.100000000000001" customHeight="1" x14ac:dyDescent="0.4">
      <c r="B20" s="163"/>
      <c r="C20" s="162" t="s">
        <v>349</v>
      </c>
      <c r="D20" s="47" t="str">
        <f>IF(0.01*E5&gt;0.4,"0,4 mg iv",0.01*E5&amp;" mg iv")</f>
        <v>0,1 mg iv</v>
      </c>
      <c r="E20" s="874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4"/>
      <c r="G20" s="240" t="s">
        <v>9</v>
      </c>
      <c r="H20" s="46"/>
      <c r="I20" s="46"/>
      <c r="J20" s="185"/>
      <c r="K20" s="185"/>
      <c r="L20" s="544">
        <v>18</v>
      </c>
      <c r="M20" s="544">
        <v>15</v>
      </c>
      <c r="N20" s="544">
        <v>7</v>
      </c>
      <c r="O20" s="544"/>
      <c r="P20" s="544"/>
      <c r="Q20" s="544"/>
      <c r="R20" s="544"/>
      <c r="S20" s="544">
        <v>19</v>
      </c>
      <c r="T20" s="544">
        <v>20</v>
      </c>
      <c r="U20" s="544"/>
      <c r="V20" s="544"/>
      <c r="W20" s="544"/>
      <c r="X20" s="544"/>
      <c r="Y20" s="185"/>
    </row>
    <row r="21" spans="2:25" ht="20.100000000000001" customHeight="1" thickBot="1" x14ac:dyDescent="0.45">
      <c r="B21" s="163"/>
      <c r="C21" s="181"/>
      <c r="D21" s="182"/>
      <c r="E21" s="875"/>
      <c r="F21" s="875"/>
      <c r="G21" s="241"/>
      <c r="H21" s="46"/>
      <c r="I21" s="46"/>
      <c r="J21" s="185"/>
      <c r="K21" s="185"/>
      <c r="L21" s="544"/>
      <c r="M21" s="544"/>
      <c r="N21" s="544"/>
      <c r="O21" s="544"/>
      <c r="P21" s="544"/>
      <c r="Q21" s="544"/>
      <c r="R21" s="544"/>
      <c r="S21" s="544">
        <v>20</v>
      </c>
      <c r="T21" s="544">
        <v>20</v>
      </c>
      <c r="U21" s="544">
        <v>20</v>
      </c>
      <c r="V21" s="544"/>
      <c r="W21" s="544"/>
      <c r="X21" s="544"/>
      <c r="Y21" s="185"/>
    </row>
    <row r="22" spans="2:25" ht="20.100000000000001" customHeight="1" thickBot="1" x14ac:dyDescent="0.45">
      <c r="B22" s="24"/>
      <c r="C22" s="143"/>
      <c r="D22" s="47"/>
      <c r="E22" s="173"/>
      <c r="F22" s="173"/>
      <c r="G22" s="240"/>
      <c r="H22" s="46"/>
      <c r="I22" s="46"/>
      <c r="J22" s="185"/>
      <c r="K22" s="185"/>
      <c r="L22" s="544"/>
      <c r="M22" s="544"/>
      <c r="N22" s="544"/>
      <c r="O22" s="544"/>
      <c r="P22" s="544"/>
      <c r="Q22" s="544"/>
      <c r="R22" s="544"/>
      <c r="S22" s="544">
        <v>21</v>
      </c>
      <c r="T22" s="544">
        <v>30</v>
      </c>
      <c r="U22" s="544"/>
      <c r="V22" s="544"/>
      <c r="W22" s="544"/>
      <c r="X22" s="544"/>
      <c r="Y22" s="185"/>
    </row>
    <row r="23" spans="2:25" ht="20.100000000000001" customHeight="1" x14ac:dyDescent="0.4">
      <c r="B23" s="163" t="s">
        <v>292</v>
      </c>
      <c r="C23" s="178" t="str">
        <f ca="1">IF(C5=0,"alprostadil (Prostin)","")</f>
        <v>alprostadil (Prostin)</v>
      </c>
      <c r="D23" s="179" t="str">
        <f ca="1">IF(C5=0,"0,5 mg in 50 ml NaCl 0.9%","")</f>
        <v>0,5 mg in 50 ml NaCl 0.9%</v>
      </c>
      <c r="E23" s="180" t="str">
        <f ca="1">IF(C5=0,"1 ml/uur = "&amp;ROUND(1000*(0.5/50)*24/(E5)/1.44,0)&amp;" nanog/kg/min iv","")</f>
        <v>1 ml/uur = 17 nanog/kg/min iv</v>
      </c>
      <c r="F23" s="180"/>
      <c r="G23" s="239" t="s">
        <v>342</v>
      </c>
      <c r="H23" s="46"/>
      <c r="I23" s="46"/>
      <c r="J23" s="185"/>
      <c r="K23" s="185"/>
      <c r="L23" s="544"/>
      <c r="M23" s="544"/>
      <c r="N23" s="544"/>
      <c r="O23" s="544"/>
      <c r="P23" s="544"/>
      <c r="Q23" s="544"/>
      <c r="R23" s="544"/>
      <c r="S23" s="544">
        <v>22</v>
      </c>
      <c r="T23" s="544">
        <v>30</v>
      </c>
      <c r="U23" s="544"/>
      <c r="V23" s="544"/>
      <c r="W23" s="544"/>
      <c r="X23" s="544"/>
      <c r="Y23" s="185"/>
    </row>
    <row r="24" spans="2:25" ht="20.100000000000001" customHeight="1" x14ac:dyDescent="0.4">
      <c r="B24" s="163"/>
      <c r="C24" s="162" t="s">
        <v>104</v>
      </c>
      <c r="D24" s="47" t="str">
        <f>IF(E5&gt;5,"200 mg in 50 ml NaCl 0.9%",ROUND(((E5)*24*60*(10/1000)/(24/50))/50,0)*50&amp;" mg in 50 ml NaCl 0.9%")</f>
        <v>200 mg in 50 ml NaCl 0.9%</v>
      </c>
      <c r="E24" s="46" t="str">
        <f>"1 ml/uur = "&amp;IF(E5&gt;5,ROUND((200/50/E5/60)*1000,1),ROUND(24*ROUND(((E5)*24*60*(10/1000)/(24/50))/50,0)*50/50/1.44/E5,1))&amp;" mcg/kg/min"</f>
        <v>1 ml/uur = 6,7 mcg/kg/min</v>
      </c>
      <c r="F24" s="46"/>
      <c r="G24" s="240" t="s">
        <v>353</v>
      </c>
      <c r="H24" s="46"/>
      <c r="I24" s="46"/>
      <c r="J24" s="185"/>
      <c r="K24" s="185"/>
      <c r="L24" s="544"/>
      <c r="M24" s="544"/>
      <c r="N24" s="544"/>
      <c r="O24" s="544"/>
      <c r="P24" s="544"/>
      <c r="Q24" s="544"/>
      <c r="R24" s="544"/>
      <c r="S24" s="544">
        <v>23</v>
      </c>
      <c r="T24" s="544">
        <v>30</v>
      </c>
      <c r="U24" s="544"/>
      <c r="V24" s="544"/>
      <c r="W24" s="544"/>
      <c r="X24" s="544"/>
      <c r="Y24" s="185"/>
    </row>
    <row r="25" spans="2:25" ht="20.100000000000001" customHeight="1" thickBot="1" x14ac:dyDescent="0.45">
      <c r="B25" s="163"/>
      <c r="C25" s="181" t="s">
        <v>105</v>
      </c>
      <c r="D25" s="182" t="str">
        <f>IF(_Pat_Gewicht/15&gt;5,"10 mg in 50 ml NaCl 0.9%",ROUND((E5)*24*60*(0.1/1000)/(24/50)/5,1)*5&amp;" mg in 50 ml NaCl 0.9%")</f>
        <v>10 mg in 50 ml NaCl 0.9%</v>
      </c>
      <c r="E25" s="183" t="str">
        <f>"1 ml/uur = "&amp;IF(E5&gt;5,ROUND((10/50/E5/60)*1000,2),ROUND(24*ROUND((E5)*24*60*(0.1/1000)/(24/50)/5,1)*5/50/1.44/E5,2))&amp;" mcg/kg/min"</f>
        <v>1 ml/uur = 0,33 mcg/kg/min</v>
      </c>
      <c r="F25" s="183"/>
      <c r="G25" s="241" t="s">
        <v>415</v>
      </c>
      <c r="H25" s="46"/>
      <c r="I25" s="46"/>
      <c r="J25" s="185"/>
      <c r="K25" s="185"/>
      <c r="L25" s="544"/>
      <c r="M25" s="544"/>
      <c r="N25" s="544"/>
      <c r="O25" s="544"/>
      <c r="P25" s="544"/>
      <c r="Q25" s="544"/>
      <c r="R25" s="544"/>
      <c r="S25" s="544">
        <v>24</v>
      </c>
      <c r="T25" s="544">
        <v>30</v>
      </c>
      <c r="U25" s="544"/>
      <c r="V25" s="544"/>
      <c r="W25" s="544"/>
      <c r="X25" s="544"/>
      <c r="Y25" s="185"/>
    </row>
    <row r="26" spans="2:25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185"/>
      <c r="K26" s="185"/>
      <c r="L26" s="544"/>
      <c r="M26" s="544"/>
      <c r="N26" s="544"/>
      <c r="O26" s="544"/>
      <c r="P26" s="544"/>
      <c r="Q26" s="544"/>
      <c r="R26" s="544"/>
      <c r="S26" s="544">
        <v>25</v>
      </c>
      <c r="T26" s="544">
        <v>30</v>
      </c>
      <c r="U26" s="544"/>
      <c r="V26" s="544"/>
      <c r="W26" s="544"/>
      <c r="X26" s="544"/>
      <c r="Y26" s="185"/>
    </row>
    <row r="27" spans="2:25" ht="20.100000000000001" customHeight="1" x14ac:dyDescent="0.4">
      <c r="B27" s="872" t="s">
        <v>293</v>
      </c>
      <c r="C27" s="178" t="s">
        <v>457</v>
      </c>
      <c r="D27" s="179" t="str">
        <f>IF(ROUND(E5/2,0)*2&gt;50,"300 mg iv",ROUND(E5*5,0)&amp;" mg iv")</f>
        <v>50 mg iv</v>
      </c>
      <c r="E27" s="180" t="str">
        <f>IF(ROUND(E5/2,0)*2&gt;50,"6 ml van amiodarone 50 mg/ml iv",ROUND(E5*0.1,1)&amp;" ml van amiodarone 50 mg/ml iv")</f>
        <v>1 ml van amiodarone 50 mg/ml iv</v>
      </c>
      <c r="F27" s="180"/>
      <c r="G27" s="239" t="s">
        <v>10</v>
      </c>
      <c r="H27" s="46"/>
      <c r="I27" s="46"/>
      <c r="J27" s="185"/>
      <c r="K27" s="185"/>
      <c r="L27" s="544"/>
      <c r="M27" s="544"/>
      <c r="N27" s="544"/>
      <c r="O27" s="544"/>
      <c r="P27" s="544"/>
      <c r="Q27" s="544"/>
      <c r="R27" s="544"/>
      <c r="S27" s="544">
        <v>26</v>
      </c>
      <c r="T27" s="544">
        <v>30</v>
      </c>
      <c r="U27" s="544"/>
      <c r="V27" s="544"/>
      <c r="W27" s="544"/>
      <c r="X27" s="544"/>
      <c r="Y27" s="185"/>
    </row>
    <row r="28" spans="2:25" ht="20.100000000000001" customHeight="1" thickBot="1" x14ac:dyDescent="0.45">
      <c r="B28" s="873"/>
      <c r="C28" s="181" t="s">
        <v>337</v>
      </c>
      <c r="D28" s="182" t="str">
        <f>IF(E5/10&gt;10,"10 ml iv",E5/10 &amp;" ml iv")</f>
        <v>1 ml iv</v>
      </c>
      <c r="E28" s="183" t="s">
        <v>259</v>
      </c>
      <c r="F28" s="183"/>
      <c r="G28" s="241" t="s">
        <v>11</v>
      </c>
      <c r="H28" s="46"/>
      <c r="I28" s="46"/>
      <c r="J28" s="185"/>
      <c r="K28" s="185"/>
      <c r="L28" s="544"/>
      <c r="M28" s="544"/>
      <c r="N28" s="544"/>
      <c r="O28" s="544"/>
      <c r="P28" s="544"/>
      <c r="Q28" s="544"/>
      <c r="R28" s="544"/>
      <c r="S28" s="544">
        <v>27</v>
      </c>
      <c r="T28" s="544">
        <v>30</v>
      </c>
      <c r="U28" s="544"/>
      <c r="V28" s="544"/>
      <c r="W28" s="544"/>
      <c r="X28" s="544"/>
      <c r="Y28" s="185"/>
    </row>
    <row r="29" spans="2:25" ht="20.100000000000001" customHeight="1" thickBot="1" x14ac:dyDescent="0.45">
      <c r="B29" s="24"/>
      <c r="C29" s="46"/>
      <c r="D29" s="47"/>
      <c r="E29" s="46"/>
      <c r="F29" s="46"/>
      <c r="G29" s="240"/>
      <c r="H29" s="46"/>
      <c r="I29" s="46"/>
      <c r="J29" s="185"/>
      <c r="K29" s="185"/>
      <c r="L29" s="544"/>
      <c r="M29" s="544"/>
      <c r="N29" s="544"/>
      <c r="O29" s="544"/>
      <c r="P29" s="544"/>
      <c r="Q29" s="544"/>
      <c r="R29" s="544"/>
      <c r="S29" s="544">
        <v>28</v>
      </c>
      <c r="T29" s="544">
        <v>30</v>
      </c>
      <c r="U29" s="544"/>
      <c r="V29" s="544"/>
      <c r="W29" s="544"/>
      <c r="X29" s="544"/>
      <c r="Y29" s="185"/>
    </row>
    <row r="30" spans="2:25" ht="20.100000000000001" customHeight="1" x14ac:dyDescent="0.4">
      <c r="B30" s="871" t="s">
        <v>92</v>
      </c>
      <c r="C30" s="178" t="s">
        <v>106</v>
      </c>
      <c r="D30" s="179" t="str">
        <f>IF((0.5*E5)&gt;10,"10 mg rect",(0.5*E5)&amp;" mg rect")</f>
        <v>5 mg rect</v>
      </c>
      <c r="E30" s="180" t="str">
        <f>"= "&amp;IF((0.5*E5)&gt;10,"5 ml van diazepam 2 mg/ml",ROUND((0.5*E5)/2,1)&amp;" ml van diazepam 2 mg/ml")</f>
        <v>= 2,5 ml van diazepam 2 mg/ml</v>
      </c>
      <c r="F30" s="180"/>
      <c r="G30" s="239" t="s">
        <v>12</v>
      </c>
      <c r="H30" s="46"/>
      <c r="I30" s="46"/>
      <c r="J30" s="185"/>
      <c r="K30" s="185"/>
      <c r="L30" s="544"/>
      <c r="M30" s="544"/>
      <c r="N30" s="544"/>
      <c r="O30" s="544"/>
      <c r="P30" s="544"/>
      <c r="Q30" s="544"/>
      <c r="R30" s="544"/>
      <c r="S30" s="544">
        <v>29</v>
      </c>
      <c r="T30" s="544">
        <v>30</v>
      </c>
      <c r="U30" s="544"/>
      <c r="V30" s="544"/>
      <c r="W30" s="544"/>
      <c r="X30" s="544"/>
      <c r="Y30" s="185"/>
    </row>
    <row r="31" spans="2:25" ht="20.100000000000001" customHeight="1" x14ac:dyDescent="0.4">
      <c r="B31" s="871"/>
      <c r="C31" s="162" t="s">
        <v>295</v>
      </c>
      <c r="D31" s="47" t="str">
        <f>IF((20*E5)&gt;1500,"1500 mg iv",20*E5&amp;" mg iv")</f>
        <v>200 mg iv</v>
      </c>
      <c r="E31" s="874" t="str">
        <f>"= "&amp;IF((20*E5)&gt;750,"15 ml van fenytoine 50 mg/ml in 20 ml NaCl 0.9% langzaam iv",ROUND((15*E5)/50,1)&amp;" ml van fenytoine 50 mg/ml in 20 ml NaCl 0.9% langzaam iv")</f>
        <v>= 3 ml van fenytoine 50 mg/ml in 20 ml NaCl 0.9% langzaam iv</v>
      </c>
      <c r="F31" s="874"/>
      <c r="G31" s="242" t="s">
        <v>29</v>
      </c>
      <c r="H31" s="46"/>
      <c r="I31" s="46"/>
      <c r="J31" s="185"/>
      <c r="L31" s="544"/>
      <c r="M31" s="544"/>
      <c r="N31" s="544"/>
      <c r="O31" s="544"/>
      <c r="P31" s="544"/>
      <c r="Q31" s="544"/>
      <c r="R31" s="544"/>
      <c r="S31" s="544">
        <v>30</v>
      </c>
      <c r="T31" s="544">
        <v>30</v>
      </c>
      <c r="U31" s="544">
        <v>30</v>
      </c>
      <c r="V31" s="544"/>
      <c r="W31" s="544"/>
      <c r="X31" s="544"/>
      <c r="Y31" s="185"/>
    </row>
    <row r="32" spans="2:25" ht="20.100000000000001" customHeight="1" x14ac:dyDescent="0.4">
      <c r="B32" s="163"/>
      <c r="C32" s="162"/>
      <c r="D32" s="47"/>
      <c r="E32" s="874"/>
      <c r="F32" s="874"/>
      <c r="G32" s="240"/>
      <c r="H32" s="46"/>
      <c r="I32" s="46"/>
      <c r="L32" s="544"/>
      <c r="M32" s="544"/>
      <c r="N32" s="544"/>
      <c r="O32" s="544"/>
      <c r="P32" s="544"/>
      <c r="Q32" s="544"/>
      <c r="R32" s="544"/>
      <c r="S32" s="544">
        <v>31</v>
      </c>
      <c r="T32" s="544">
        <v>50</v>
      </c>
      <c r="U32" s="544"/>
      <c r="V32" s="544"/>
      <c r="W32" s="544"/>
      <c r="X32" s="544"/>
      <c r="Y32" s="185"/>
    </row>
    <row r="33" spans="2:25" ht="12.75" customHeight="1" thickBot="1" x14ac:dyDescent="0.45">
      <c r="B33" s="163"/>
      <c r="C33" s="181" t="s">
        <v>382</v>
      </c>
      <c r="D33" s="182" t="str">
        <f>IF((0.1*E5)&gt;10,"10 mg iv",0.1*E5&amp;" mg iv")</f>
        <v>1 mg iv</v>
      </c>
      <c r="E33" s="183" t="str">
        <f>"= "&amp;IF((0.1*E5)&gt;15,10,ROUND((0.1*E5),1))&amp;" ml van dormicum 1 mg/ml iv"</f>
        <v>= 1 ml van dormicum 1 mg/ml iv</v>
      </c>
      <c r="F33" s="183"/>
      <c r="G33" s="243" t="s">
        <v>13</v>
      </c>
      <c r="H33" s="46"/>
      <c r="I33" s="46"/>
      <c r="L33" s="544"/>
      <c r="M33" s="544"/>
      <c r="N33" s="544"/>
      <c r="O33" s="544"/>
      <c r="P33" s="544"/>
      <c r="Q33" s="544"/>
      <c r="R33" s="544"/>
      <c r="S33" s="544">
        <v>32</v>
      </c>
      <c r="T33" s="544">
        <v>50</v>
      </c>
      <c r="U33" s="544"/>
      <c r="V33" s="544"/>
      <c r="W33" s="544"/>
      <c r="X33" s="544"/>
      <c r="Y33" s="185"/>
    </row>
    <row r="34" spans="2:25" ht="13.5" customHeight="1" thickBot="1" x14ac:dyDescent="0.45">
      <c r="B34" s="24"/>
      <c r="C34" s="46"/>
      <c r="D34" s="47"/>
      <c r="E34" s="46"/>
      <c r="F34" s="46"/>
      <c r="G34" s="244"/>
      <c r="H34" s="46"/>
      <c r="I34" s="46"/>
      <c r="L34" s="544"/>
      <c r="M34" s="544"/>
      <c r="N34" s="544"/>
      <c r="O34" s="544"/>
      <c r="P34" s="544"/>
      <c r="Q34" s="544"/>
      <c r="R34" s="544"/>
      <c r="S34" s="544">
        <v>33</v>
      </c>
      <c r="T34" s="544">
        <v>50</v>
      </c>
      <c r="U34" s="544"/>
      <c r="V34" s="544"/>
      <c r="W34" s="544"/>
      <c r="X34" s="544"/>
      <c r="Y34" s="185"/>
    </row>
    <row r="35" spans="2:25" ht="19.55" customHeight="1" x14ac:dyDescent="0.4">
      <c r="B35" s="163" t="s">
        <v>93</v>
      </c>
      <c r="C35" s="178" t="s">
        <v>427</v>
      </c>
      <c r="D35" s="179" t="str">
        <f>IF(1*(E5&gt;25),"25 mg iv",1*(E5)&amp;" mg iv")</f>
        <v>10 mg iv</v>
      </c>
      <c r="E35" s="180"/>
      <c r="F35" s="180"/>
      <c r="G35" s="239" t="s">
        <v>14</v>
      </c>
      <c r="H35" s="46"/>
      <c r="I35" s="46"/>
      <c r="L35" s="544"/>
      <c r="M35" s="544"/>
      <c r="N35" s="544"/>
      <c r="O35" s="544"/>
      <c r="P35" s="544"/>
      <c r="Q35" s="544"/>
      <c r="R35" s="544"/>
      <c r="S35" s="544">
        <v>34</v>
      </c>
      <c r="T35" s="544">
        <v>50</v>
      </c>
      <c r="U35" s="544"/>
      <c r="V35" s="544"/>
      <c r="W35" s="544"/>
      <c r="X35" s="544"/>
      <c r="Y35" s="185"/>
    </row>
    <row r="36" spans="2:25" ht="19.55" customHeight="1" thickBot="1" x14ac:dyDescent="0.45">
      <c r="B36" s="163"/>
      <c r="C36" s="181" t="s">
        <v>107</v>
      </c>
      <c r="D36" s="182" t="str">
        <f>IF(ROUND((0.5*E5),1)&gt;50,"50 gram iv",ROUND((0.5*E5),1)&amp;" gram iv")</f>
        <v>5 gram iv</v>
      </c>
      <c r="E36" s="183" t="str">
        <f>"= "&amp;IF(ROUND((0.5*E5),1)&gt;50,ROUND(50/0.15,0),ROUND((0.5*E5)/0.15,0))&amp;" ml van mannitol 15% in 30 min iv"</f>
        <v>= 33 ml van mannitol 15% in 30 min iv</v>
      </c>
      <c r="F36" s="183"/>
      <c r="G36" s="241" t="s">
        <v>15</v>
      </c>
      <c r="H36" s="46"/>
      <c r="I36" s="46"/>
      <c r="L36" s="544"/>
      <c r="M36" s="544"/>
      <c r="N36" s="544"/>
      <c r="O36" s="544"/>
      <c r="P36" s="544"/>
      <c r="Q36" s="544"/>
      <c r="R36" s="544"/>
      <c r="S36" s="544">
        <v>35</v>
      </c>
      <c r="T36" s="544">
        <v>50</v>
      </c>
      <c r="U36" s="544"/>
      <c r="V36" s="544"/>
      <c r="W36" s="544"/>
      <c r="X36" s="544"/>
      <c r="Y36" s="185"/>
    </row>
    <row r="37" spans="2:25" ht="25.55" customHeight="1" thickBot="1" x14ac:dyDescent="0.45">
      <c r="B37" s="24"/>
      <c r="C37" s="46"/>
      <c r="D37" s="47"/>
      <c r="E37" s="46"/>
      <c r="F37" s="46"/>
      <c r="G37" s="245"/>
      <c r="H37" s="46"/>
      <c r="I37" s="46"/>
      <c r="L37" s="544"/>
      <c r="M37" s="544"/>
      <c r="N37" s="544"/>
      <c r="O37" s="544"/>
      <c r="P37" s="544"/>
      <c r="Q37" s="544"/>
      <c r="R37" s="544"/>
      <c r="S37" s="544">
        <v>36</v>
      </c>
      <c r="T37" s="544">
        <v>50</v>
      </c>
      <c r="U37" s="544"/>
      <c r="V37" s="544"/>
      <c r="W37" s="544"/>
      <c r="X37" s="544"/>
      <c r="Y37" s="185"/>
    </row>
    <row r="38" spans="2:25" ht="19.55" customHeight="1" x14ac:dyDescent="0.4">
      <c r="B38" s="163" t="s">
        <v>108</v>
      </c>
      <c r="C38" s="238" t="s">
        <v>321</v>
      </c>
      <c r="D38" s="179" t="str">
        <f ca="1">"AMV "&amp;ROUND(E5*8*VLOOKUP(C5,L2:M20,2)/1000,1)&amp;" L/min"</f>
        <v>AMV 3,2 L/min</v>
      </c>
      <c r="E38" s="180"/>
      <c r="F38" s="179" t="s">
        <v>109</v>
      </c>
      <c r="G38" s="180"/>
      <c r="H38" s="46"/>
      <c r="I38" s="46"/>
      <c r="L38" s="544"/>
      <c r="M38" s="544"/>
      <c r="N38" s="544"/>
      <c r="O38" s="544"/>
      <c r="P38" s="544"/>
      <c r="Q38" s="544"/>
      <c r="R38" s="544"/>
      <c r="S38" s="544"/>
      <c r="T38" s="544"/>
      <c r="U38" s="544"/>
      <c r="V38" s="544"/>
      <c r="W38" s="544"/>
      <c r="X38" s="544"/>
      <c r="Y38" s="185"/>
    </row>
    <row r="39" spans="2:25" ht="19.55" customHeight="1" x14ac:dyDescent="0.4">
      <c r="B39" s="163"/>
      <c r="C39" s="49"/>
      <c r="D39" s="47" t="str">
        <f ca="1">"frequentie "&amp;VLOOKUP(C5,L2:M20,2)&amp;"/min"</f>
        <v>frequentie 40/min</v>
      </c>
      <c r="E39" s="46"/>
      <c r="F39" s="47" t="s">
        <v>110</v>
      </c>
      <c r="G39" s="46"/>
      <c r="H39" s="46"/>
      <c r="I39" s="46"/>
      <c r="L39" s="544"/>
      <c r="M39" s="544"/>
      <c r="N39" s="544"/>
      <c r="O39" s="544"/>
      <c r="P39" s="544"/>
      <c r="Q39" s="544"/>
      <c r="R39" s="544"/>
      <c r="S39" s="544">
        <v>37</v>
      </c>
      <c r="T39" s="544">
        <v>50</v>
      </c>
      <c r="U39" s="544"/>
      <c r="V39" s="544"/>
      <c r="W39" s="544"/>
      <c r="X39" s="544"/>
      <c r="Y39" s="185"/>
    </row>
    <row r="40" spans="2:25" ht="19.55" customHeight="1" x14ac:dyDescent="0.4">
      <c r="B40" s="163"/>
      <c r="C40" s="49"/>
      <c r="D40" s="47" t="s">
        <v>458</v>
      </c>
      <c r="E40" s="46"/>
      <c r="F40" s="47" t="s">
        <v>445</v>
      </c>
      <c r="G40" s="46"/>
      <c r="H40" s="46"/>
      <c r="I40" s="46"/>
      <c r="L40" s="544"/>
      <c r="M40" s="544"/>
      <c r="N40" s="544"/>
      <c r="O40" s="544"/>
      <c r="P40" s="544"/>
      <c r="Q40" s="544"/>
      <c r="R40" s="544"/>
      <c r="S40" s="544">
        <v>38</v>
      </c>
      <c r="T40" s="544">
        <v>50</v>
      </c>
      <c r="U40" s="544"/>
      <c r="V40" s="544"/>
      <c r="W40" s="544"/>
      <c r="X40" s="544"/>
      <c r="Y40" s="185"/>
    </row>
    <row r="41" spans="2:25" ht="19.55" customHeight="1" x14ac:dyDescent="0.4">
      <c r="B41" s="163"/>
      <c r="C41" s="49"/>
      <c r="D41" s="47" t="s">
        <v>446</v>
      </c>
      <c r="E41" s="46"/>
      <c r="F41" s="47"/>
      <c r="G41" s="46"/>
      <c r="H41" s="46"/>
      <c r="I41" s="46"/>
      <c r="L41" s="544"/>
      <c r="M41" s="544"/>
      <c r="N41" s="544"/>
      <c r="O41" s="544"/>
      <c r="P41" s="544"/>
      <c r="Q41" s="544"/>
      <c r="R41" s="544"/>
      <c r="S41" s="544">
        <v>39</v>
      </c>
      <c r="T41" s="544">
        <v>50</v>
      </c>
      <c r="U41" s="544"/>
      <c r="V41" s="544"/>
      <c r="W41" s="544"/>
      <c r="X41" s="544"/>
      <c r="Y41" s="185"/>
    </row>
    <row r="42" spans="2:25" ht="19.55" customHeight="1" thickBot="1" x14ac:dyDescent="0.45">
      <c r="B42" s="163"/>
      <c r="C42" s="184"/>
      <c r="D42" s="182"/>
      <c r="E42" s="183"/>
      <c r="F42" s="182"/>
      <c r="G42" s="183"/>
      <c r="H42" s="46"/>
      <c r="I42" s="46"/>
      <c r="L42" s="544"/>
      <c r="M42" s="544"/>
      <c r="N42" s="544"/>
      <c r="O42" s="544"/>
      <c r="P42" s="544"/>
      <c r="Q42" s="544"/>
      <c r="R42" s="544"/>
      <c r="S42" s="544">
        <v>40</v>
      </c>
      <c r="T42" s="544">
        <v>50</v>
      </c>
      <c r="U42" s="544"/>
      <c r="V42" s="544"/>
      <c r="W42" s="544"/>
      <c r="X42" s="544"/>
      <c r="Y42" s="185"/>
    </row>
    <row r="43" spans="2:25" ht="19.55" customHeight="1" x14ac:dyDescent="0.35">
      <c r="B43" s="23"/>
      <c r="C43" s="46"/>
      <c r="D43" s="46"/>
      <c r="E43" s="46"/>
      <c r="F43" s="46"/>
      <c r="G43" s="46"/>
      <c r="H43" s="46"/>
      <c r="I43" s="46"/>
      <c r="L43" s="544"/>
      <c r="M43" s="544"/>
      <c r="N43" s="544"/>
      <c r="O43" s="544"/>
      <c r="P43" s="544"/>
      <c r="Q43" s="544"/>
      <c r="R43" s="544"/>
      <c r="S43" s="544">
        <v>41</v>
      </c>
      <c r="T43" s="544">
        <v>50</v>
      </c>
      <c r="U43" s="544"/>
      <c r="V43" s="544"/>
      <c r="W43" s="544"/>
      <c r="X43" s="544"/>
      <c r="Y43" s="185"/>
    </row>
    <row r="44" spans="2:25" ht="19.55" customHeight="1" x14ac:dyDescent="0.35">
      <c r="B44" s="140" t="s">
        <v>85</v>
      </c>
      <c r="C44" s="48"/>
      <c r="D44" s="46"/>
      <c r="E44" s="46"/>
      <c r="F44" s="46"/>
      <c r="G44" s="46"/>
      <c r="H44" s="46"/>
      <c r="I44" s="46"/>
      <c r="L44" s="544"/>
      <c r="M44" s="544"/>
      <c r="N44" s="544"/>
      <c r="O44" s="544"/>
      <c r="P44" s="544"/>
      <c r="Q44" s="544"/>
      <c r="R44" s="544"/>
      <c r="S44" s="544">
        <v>42</v>
      </c>
      <c r="T44" s="544">
        <v>50</v>
      </c>
      <c r="U44" s="544"/>
      <c r="V44" s="544"/>
      <c r="W44" s="544"/>
      <c r="X44" s="544"/>
      <c r="Y44" s="185"/>
    </row>
    <row r="45" spans="2:25" ht="19.55" customHeight="1" x14ac:dyDescent="0.35">
      <c r="B45" s="55"/>
      <c r="C45" s="46"/>
      <c r="D45" s="46"/>
      <c r="E45" s="46"/>
      <c r="F45" s="46"/>
      <c r="G45" s="46"/>
      <c r="H45" s="46"/>
      <c r="I45" s="46"/>
      <c r="L45" s="544"/>
      <c r="M45" s="544"/>
      <c r="N45" s="544"/>
      <c r="O45" s="544"/>
      <c r="P45" s="544"/>
      <c r="Q45" s="544"/>
      <c r="R45" s="544"/>
      <c r="S45" s="544">
        <v>43</v>
      </c>
      <c r="T45" s="544">
        <v>50</v>
      </c>
      <c r="U45" s="544"/>
      <c r="V45" s="544"/>
      <c r="W45" s="544"/>
      <c r="X45" s="544"/>
      <c r="Y45" s="185"/>
    </row>
    <row r="46" spans="2:25" ht="19.55" customHeight="1" x14ac:dyDescent="0.35">
      <c r="B46" s="55"/>
      <c r="C46" s="46"/>
      <c r="D46" s="46"/>
      <c r="E46" s="46"/>
      <c r="F46" s="46"/>
      <c r="G46" s="46"/>
      <c r="H46" s="46"/>
      <c r="I46" s="46"/>
      <c r="L46" s="544"/>
      <c r="M46" s="544"/>
      <c r="N46" s="544"/>
      <c r="O46" s="544"/>
      <c r="P46" s="544"/>
      <c r="Q46" s="544"/>
      <c r="R46" s="544"/>
      <c r="S46" s="544">
        <v>44</v>
      </c>
      <c r="T46" s="544">
        <v>50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L47" s="544"/>
      <c r="M47" s="544"/>
      <c r="N47" s="544"/>
      <c r="O47" s="544"/>
      <c r="P47" s="544"/>
      <c r="Q47" s="544"/>
      <c r="R47" s="544"/>
      <c r="S47" s="544">
        <v>45</v>
      </c>
      <c r="T47" s="544">
        <v>50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L48" s="544"/>
      <c r="M48" s="544"/>
      <c r="N48" s="544"/>
      <c r="O48" s="544"/>
      <c r="P48" s="544"/>
      <c r="Q48" s="544"/>
      <c r="R48" s="544"/>
      <c r="S48" s="544">
        <v>46</v>
      </c>
      <c r="T48" s="544">
        <v>50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L49" s="544"/>
      <c r="M49" s="544"/>
      <c r="N49" s="544"/>
      <c r="O49" s="544"/>
      <c r="P49" s="544"/>
      <c r="Q49" s="544"/>
      <c r="R49" s="544"/>
      <c r="S49" s="544">
        <v>47</v>
      </c>
      <c r="T49" s="544">
        <v>50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L50" s="544"/>
      <c r="M50" s="544"/>
      <c r="N50" s="544"/>
      <c r="O50" s="544"/>
      <c r="P50" s="544"/>
      <c r="Q50" s="544"/>
      <c r="R50" s="544"/>
      <c r="S50" s="544">
        <v>48</v>
      </c>
      <c r="T50" s="544">
        <v>50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L51" s="544"/>
      <c r="M51" s="544"/>
      <c r="N51" s="544"/>
      <c r="O51" s="544"/>
      <c r="P51" s="544"/>
      <c r="Q51" s="544"/>
      <c r="R51" s="544"/>
      <c r="S51" s="544">
        <v>49</v>
      </c>
      <c r="T51" s="544">
        <v>50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L52" s="544"/>
      <c r="M52" s="544"/>
      <c r="N52" s="544"/>
      <c r="O52" s="544"/>
      <c r="P52" s="544"/>
      <c r="Q52" s="544"/>
      <c r="R52" s="544"/>
      <c r="S52" s="544">
        <v>50</v>
      </c>
      <c r="T52" s="544">
        <v>50</v>
      </c>
      <c r="U52" s="544">
        <v>50</v>
      </c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L53" s="544"/>
      <c r="M53" s="544"/>
      <c r="N53" s="544"/>
      <c r="O53" s="544"/>
      <c r="P53" s="544"/>
      <c r="Q53" s="544"/>
      <c r="R53" s="544"/>
      <c r="S53" s="544">
        <v>51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L54" s="544"/>
      <c r="M54" s="544"/>
      <c r="N54" s="544"/>
      <c r="O54" s="544"/>
      <c r="P54" s="544"/>
      <c r="Q54" s="544"/>
      <c r="R54" s="544"/>
      <c r="S54" s="544">
        <v>52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L55" s="544"/>
      <c r="M55" s="544"/>
      <c r="N55" s="544"/>
      <c r="O55" s="544"/>
      <c r="P55" s="544"/>
      <c r="Q55" s="544"/>
      <c r="R55" s="544"/>
      <c r="S55" s="544">
        <v>53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L56" s="544"/>
      <c r="M56" s="544"/>
      <c r="N56" s="544"/>
      <c r="O56" s="544"/>
      <c r="P56" s="544"/>
      <c r="Q56" s="544"/>
      <c r="R56" s="544"/>
      <c r="S56" s="544">
        <v>54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L57" s="544"/>
      <c r="M57" s="544"/>
      <c r="N57" s="544"/>
      <c r="O57" s="544"/>
      <c r="P57" s="544"/>
      <c r="Q57" s="544"/>
      <c r="R57" s="544"/>
      <c r="S57" s="544">
        <v>55</v>
      </c>
      <c r="T57" s="544">
        <v>70</v>
      </c>
      <c r="U57" s="544"/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L58" s="544"/>
      <c r="M58" s="544"/>
      <c r="N58" s="544"/>
      <c r="O58" s="544"/>
      <c r="P58" s="544"/>
      <c r="Q58" s="544"/>
      <c r="R58" s="544"/>
      <c r="S58" s="544">
        <v>56</v>
      </c>
      <c r="T58" s="544">
        <v>70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L59" s="544"/>
      <c r="M59" s="544"/>
      <c r="N59" s="544"/>
      <c r="O59" s="544"/>
      <c r="P59" s="544"/>
      <c r="Q59" s="544"/>
      <c r="R59" s="544"/>
      <c r="S59" s="544">
        <v>57</v>
      </c>
      <c r="T59" s="544">
        <v>70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L60" s="544"/>
      <c r="M60" s="544"/>
      <c r="N60" s="544"/>
      <c r="O60" s="544"/>
      <c r="P60" s="544"/>
      <c r="Q60" s="544"/>
      <c r="R60" s="544"/>
      <c r="S60" s="544">
        <v>58</v>
      </c>
      <c r="T60" s="544">
        <v>70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L61" s="544"/>
      <c r="M61" s="544"/>
      <c r="N61" s="544"/>
      <c r="O61" s="544"/>
      <c r="P61" s="544"/>
      <c r="Q61" s="544"/>
      <c r="R61" s="544"/>
      <c r="S61" s="544">
        <v>59</v>
      </c>
      <c r="T61" s="544">
        <v>70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L62" s="544"/>
      <c r="M62" s="544"/>
      <c r="N62" s="544"/>
      <c r="O62" s="544"/>
      <c r="P62" s="544"/>
      <c r="Q62" s="544"/>
      <c r="R62" s="544"/>
      <c r="S62" s="544">
        <v>60</v>
      </c>
      <c r="T62" s="544">
        <v>70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L63" s="544"/>
      <c r="M63" s="544"/>
      <c r="N63" s="544"/>
      <c r="O63" s="544"/>
      <c r="P63" s="544"/>
      <c r="Q63" s="544"/>
      <c r="R63" s="544"/>
      <c r="S63" s="544">
        <v>61</v>
      </c>
      <c r="T63" s="544">
        <v>70</v>
      </c>
      <c r="U63" s="544"/>
      <c r="V63" s="544"/>
      <c r="W63" s="544"/>
      <c r="X63" s="544"/>
      <c r="Y63" s="185"/>
    </row>
    <row r="64" spans="2:25" x14ac:dyDescent="0.35">
      <c r="B64" s="55"/>
      <c r="C64" s="46"/>
      <c r="D64" s="46"/>
      <c r="E64" s="46"/>
      <c r="F64" s="46"/>
      <c r="G64" s="46"/>
      <c r="H64" s="46"/>
      <c r="I64" s="46"/>
      <c r="L64" s="544"/>
      <c r="M64" s="544"/>
      <c r="N64" s="544"/>
      <c r="O64" s="544"/>
      <c r="P64" s="544"/>
      <c r="Q64" s="544"/>
      <c r="R64" s="544"/>
      <c r="S64" s="544">
        <v>62</v>
      </c>
      <c r="T64" s="544">
        <v>70</v>
      </c>
      <c r="U64" s="544"/>
      <c r="V64" s="544"/>
      <c r="W64" s="544"/>
      <c r="X64" s="544"/>
      <c r="Y64" s="185"/>
    </row>
    <row r="65" spans="2:25" x14ac:dyDescent="0.35">
      <c r="B65" s="55"/>
      <c r="C65" s="46"/>
      <c r="D65" s="46"/>
      <c r="E65" s="46"/>
      <c r="F65" s="46"/>
      <c r="G65" s="46"/>
      <c r="H65" s="46"/>
      <c r="I65" s="46"/>
      <c r="L65" s="544"/>
      <c r="M65" s="544"/>
      <c r="N65" s="544"/>
      <c r="O65" s="544"/>
      <c r="P65" s="544"/>
      <c r="Q65" s="544"/>
      <c r="R65" s="544"/>
      <c r="S65" s="544">
        <v>63</v>
      </c>
      <c r="T65" s="544">
        <v>70</v>
      </c>
      <c r="U65" s="544"/>
      <c r="V65" s="544"/>
      <c r="W65" s="544"/>
      <c r="X65" s="544"/>
      <c r="Y65" s="185"/>
    </row>
    <row r="66" spans="2:25" x14ac:dyDescent="0.35">
      <c r="B66" s="55"/>
      <c r="C66" s="46"/>
      <c r="D66" s="46"/>
      <c r="E66" s="46"/>
      <c r="F66" s="46"/>
      <c r="G66" s="46"/>
      <c r="H66" s="46"/>
      <c r="I66" s="46"/>
      <c r="L66" s="544"/>
      <c r="M66" s="544"/>
      <c r="N66" s="544"/>
      <c r="O66" s="544"/>
      <c r="P66" s="544"/>
      <c r="Q66" s="544"/>
      <c r="R66" s="544"/>
      <c r="S66" s="544">
        <v>64</v>
      </c>
      <c r="T66" s="544">
        <v>70</v>
      </c>
      <c r="U66" s="544"/>
      <c r="V66" s="544"/>
      <c r="W66" s="544"/>
      <c r="X66" s="544"/>
      <c r="Y66" s="185"/>
    </row>
    <row r="67" spans="2:25" x14ac:dyDescent="0.35">
      <c r="B67" s="55"/>
      <c r="C67" s="46"/>
      <c r="D67" s="46"/>
      <c r="E67" s="46"/>
      <c r="F67" s="46"/>
      <c r="G67" s="46"/>
      <c r="H67" s="46"/>
      <c r="I67" s="46"/>
      <c r="L67" s="544"/>
      <c r="M67" s="544"/>
      <c r="N67" s="544"/>
      <c r="O67" s="544"/>
      <c r="P67" s="544"/>
      <c r="Q67" s="544"/>
      <c r="R67" s="544"/>
      <c r="S67" s="544">
        <v>65</v>
      </c>
      <c r="T67" s="544">
        <v>70</v>
      </c>
      <c r="U67" s="544"/>
      <c r="V67" s="544"/>
      <c r="W67" s="544"/>
      <c r="X67" s="544"/>
      <c r="Y67" s="185"/>
    </row>
    <row r="68" spans="2:25" x14ac:dyDescent="0.35">
      <c r="B68" s="55"/>
      <c r="C68" s="46"/>
      <c r="D68" s="46"/>
      <c r="E68" s="46"/>
      <c r="F68" s="46"/>
      <c r="G68" s="46"/>
      <c r="H68" s="46"/>
      <c r="I68" s="46"/>
      <c r="L68" s="544"/>
      <c r="M68" s="544"/>
      <c r="N68" s="544"/>
      <c r="O68" s="544"/>
      <c r="P68" s="544"/>
      <c r="Q68" s="544"/>
      <c r="R68" s="544"/>
      <c r="S68" s="544">
        <v>66</v>
      </c>
      <c r="T68" s="544">
        <v>70</v>
      </c>
      <c r="U68" s="544"/>
      <c r="V68" s="544"/>
      <c r="W68" s="544"/>
      <c r="X68" s="544"/>
      <c r="Y68" s="185"/>
    </row>
    <row r="69" spans="2:25" x14ac:dyDescent="0.35">
      <c r="B69" s="55"/>
      <c r="C69" s="46"/>
      <c r="D69" s="46"/>
      <c r="E69" s="46"/>
      <c r="F69" s="46"/>
      <c r="G69" s="46"/>
      <c r="H69" s="46"/>
      <c r="I69" s="46"/>
      <c r="L69" s="544"/>
      <c r="M69" s="544"/>
      <c r="N69" s="544"/>
      <c r="O69" s="544"/>
      <c r="P69" s="544"/>
      <c r="Q69" s="544"/>
      <c r="R69" s="544"/>
      <c r="S69" s="544">
        <v>67</v>
      </c>
      <c r="T69" s="544">
        <v>70</v>
      </c>
      <c r="U69" s="544"/>
      <c r="V69" s="544"/>
      <c r="W69" s="544"/>
      <c r="X69" s="544"/>
      <c r="Y69" s="185"/>
    </row>
    <row r="70" spans="2:25" x14ac:dyDescent="0.35">
      <c r="B70" s="55"/>
      <c r="C70" s="46"/>
      <c r="D70" s="46"/>
      <c r="E70" s="46"/>
      <c r="F70" s="46"/>
      <c r="G70" s="46"/>
      <c r="H70" s="46"/>
      <c r="I70" s="46"/>
      <c r="L70" s="544"/>
      <c r="M70" s="544"/>
      <c r="N70" s="544"/>
      <c r="O70" s="544"/>
      <c r="P70" s="544"/>
      <c r="Q70" s="544"/>
      <c r="R70" s="544"/>
      <c r="S70" s="544">
        <v>68</v>
      </c>
      <c r="T70" s="544">
        <v>70</v>
      </c>
      <c r="U70" s="544"/>
      <c r="V70" s="544"/>
      <c r="W70" s="544"/>
      <c r="X70" s="544"/>
      <c r="Y70" s="185"/>
    </row>
    <row r="71" spans="2:25" x14ac:dyDescent="0.35">
      <c r="B71" s="55"/>
      <c r="C71" s="46"/>
      <c r="D71" s="46"/>
      <c r="E71" s="46"/>
      <c r="F71" s="46"/>
      <c r="G71" s="46"/>
      <c r="H71" s="46"/>
      <c r="I71" s="46"/>
      <c r="L71" s="544"/>
      <c r="M71" s="544"/>
      <c r="N71" s="544"/>
      <c r="O71" s="544"/>
      <c r="P71" s="544"/>
      <c r="Q71" s="544"/>
      <c r="R71" s="544"/>
      <c r="S71" s="544">
        <v>69</v>
      </c>
      <c r="T71" s="544">
        <v>70</v>
      </c>
      <c r="U71" s="544"/>
      <c r="V71" s="544"/>
      <c r="W71" s="544"/>
      <c r="X71" s="544"/>
      <c r="Y71" s="185"/>
    </row>
    <row r="72" spans="2:25" x14ac:dyDescent="0.35">
      <c r="B72" s="55"/>
      <c r="C72" s="46"/>
      <c r="D72" s="46"/>
      <c r="E72" s="46"/>
      <c r="F72" s="46"/>
      <c r="G72" s="46"/>
      <c r="H72" s="46"/>
      <c r="I72" s="46"/>
      <c r="L72" s="544"/>
      <c r="M72" s="544"/>
      <c r="N72" s="544"/>
      <c r="O72" s="544"/>
      <c r="P72" s="544"/>
      <c r="Q72" s="544"/>
      <c r="R72" s="544"/>
      <c r="S72" s="544">
        <v>70</v>
      </c>
      <c r="T72" s="544">
        <v>70</v>
      </c>
      <c r="U72" s="544">
        <v>70</v>
      </c>
      <c r="V72" s="544"/>
      <c r="W72" s="544"/>
      <c r="X72" s="544"/>
      <c r="Y72" s="185"/>
    </row>
    <row r="73" spans="2:25" x14ac:dyDescent="0.35">
      <c r="B73" s="55"/>
      <c r="C73" s="46"/>
      <c r="D73" s="46"/>
      <c r="E73" s="46"/>
      <c r="F73" s="46"/>
      <c r="G73" s="46"/>
      <c r="H73" s="46"/>
      <c r="I73" s="46"/>
      <c r="L73" s="544"/>
      <c r="M73" s="544"/>
      <c r="N73" s="544"/>
      <c r="O73" s="544"/>
      <c r="P73" s="544"/>
      <c r="Q73" s="544"/>
      <c r="R73" s="544"/>
      <c r="S73" s="544">
        <v>71</v>
      </c>
      <c r="T73" s="544">
        <v>100</v>
      </c>
      <c r="U73" s="544"/>
      <c r="V73" s="544"/>
      <c r="W73" s="544"/>
      <c r="X73" s="544"/>
      <c r="Y73" s="185"/>
    </row>
    <row r="74" spans="2:25" x14ac:dyDescent="0.35">
      <c r="B74" s="55"/>
      <c r="C74" s="46"/>
      <c r="D74" s="46"/>
      <c r="E74" s="46"/>
      <c r="F74" s="46"/>
      <c r="G74" s="46"/>
      <c r="H74" s="46"/>
      <c r="I74" s="46"/>
      <c r="L74" s="544"/>
      <c r="M74" s="544"/>
      <c r="N74" s="544"/>
      <c r="O74" s="544"/>
      <c r="P74" s="544"/>
      <c r="Q74" s="544"/>
      <c r="R74" s="544"/>
      <c r="S74" s="544">
        <v>72</v>
      </c>
      <c r="T74" s="544">
        <v>100</v>
      </c>
      <c r="U74" s="544"/>
      <c r="V74" s="544"/>
      <c r="W74" s="544"/>
      <c r="X74" s="544"/>
      <c r="Y74" s="185"/>
    </row>
    <row r="75" spans="2:25" x14ac:dyDescent="0.35">
      <c r="B75" s="55"/>
      <c r="C75" s="46"/>
      <c r="D75" s="46"/>
      <c r="E75" s="46"/>
      <c r="F75" s="46"/>
      <c r="G75" s="46"/>
      <c r="H75" s="46"/>
      <c r="I75" s="46"/>
      <c r="L75" s="544"/>
      <c r="M75" s="544"/>
      <c r="N75" s="544"/>
      <c r="O75" s="544"/>
      <c r="P75" s="544"/>
      <c r="Q75" s="544"/>
      <c r="R75" s="544"/>
      <c r="S75" s="544">
        <v>73</v>
      </c>
      <c r="T75" s="544">
        <v>100</v>
      </c>
      <c r="U75" s="544"/>
      <c r="V75" s="544"/>
      <c r="W75" s="544"/>
      <c r="X75" s="544"/>
      <c r="Y75" s="185"/>
    </row>
    <row r="76" spans="2:25" x14ac:dyDescent="0.35">
      <c r="B76" s="55"/>
      <c r="C76" s="46"/>
      <c r="D76" s="46"/>
      <c r="E76" s="46"/>
      <c r="F76" s="46"/>
      <c r="G76" s="46"/>
      <c r="H76" s="46"/>
      <c r="I76" s="46"/>
      <c r="L76" s="544"/>
      <c r="M76" s="544"/>
      <c r="N76" s="544"/>
      <c r="O76" s="544"/>
      <c r="P76" s="544"/>
      <c r="Q76" s="544"/>
      <c r="R76" s="544"/>
      <c r="S76" s="544">
        <v>74</v>
      </c>
      <c r="T76" s="544">
        <v>100</v>
      </c>
      <c r="U76" s="544"/>
      <c r="V76" s="544"/>
      <c r="W76" s="544"/>
      <c r="X76" s="544"/>
      <c r="Y76" s="185"/>
    </row>
    <row r="77" spans="2:25" x14ac:dyDescent="0.35">
      <c r="H77" s="46"/>
      <c r="I77" s="46"/>
      <c r="L77" s="544"/>
      <c r="M77" s="544"/>
      <c r="N77" s="544"/>
      <c r="O77" s="544"/>
      <c r="P77" s="544"/>
      <c r="Q77" s="544"/>
      <c r="R77" s="544"/>
      <c r="S77" s="544">
        <v>75</v>
      </c>
      <c r="T77" s="544">
        <v>100</v>
      </c>
      <c r="U77" s="544"/>
      <c r="V77" s="544"/>
      <c r="W77" s="544"/>
      <c r="X77" s="544"/>
      <c r="Y77" s="185"/>
    </row>
    <row r="78" spans="2:25" x14ac:dyDescent="0.35">
      <c r="L78" s="544"/>
      <c r="M78" s="544"/>
      <c r="N78" s="544"/>
      <c r="O78" s="544"/>
      <c r="P78" s="544"/>
      <c r="Q78" s="544"/>
      <c r="R78" s="544"/>
      <c r="S78" s="544">
        <v>76</v>
      </c>
      <c r="T78" s="544">
        <v>100</v>
      </c>
      <c r="U78" s="544"/>
      <c r="V78" s="544"/>
      <c r="W78" s="544"/>
      <c r="X78" s="544"/>
      <c r="Y78" s="185"/>
    </row>
    <row r="79" spans="2:25" x14ac:dyDescent="0.35">
      <c r="L79" s="544"/>
      <c r="M79" s="544"/>
      <c r="N79" s="544"/>
      <c r="O79" s="544"/>
      <c r="P79" s="544"/>
      <c r="Q79" s="544"/>
      <c r="R79" s="544"/>
      <c r="S79" s="544">
        <v>77</v>
      </c>
      <c r="T79" s="544">
        <v>100</v>
      </c>
      <c r="U79" s="544"/>
      <c r="V79" s="544"/>
      <c r="W79" s="544"/>
      <c r="X79" s="544"/>
      <c r="Y79" s="185"/>
    </row>
    <row r="80" spans="2:25" x14ac:dyDescent="0.35">
      <c r="L80" s="544"/>
      <c r="M80" s="544"/>
      <c r="N80" s="544"/>
      <c r="O80" s="544"/>
      <c r="P80" s="544"/>
      <c r="Q80" s="544"/>
      <c r="R80" s="544"/>
      <c r="S80" s="544">
        <v>78</v>
      </c>
      <c r="T80" s="544">
        <v>100</v>
      </c>
      <c r="U80" s="544"/>
      <c r="V80" s="544"/>
      <c r="W80" s="544"/>
      <c r="X80" s="544"/>
      <c r="Y80" s="185"/>
    </row>
    <row r="81" spans="12:25" x14ac:dyDescent="0.35">
      <c r="L81" s="544"/>
      <c r="M81" s="544"/>
      <c r="N81" s="544"/>
      <c r="O81" s="544"/>
      <c r="P81" s="544"/>
      <c r="Q81" s="544"/>
      <c r="R81" s="544"/>
      <c r="S81" s="544">
        <v>79</v>
      </c>
      <c r="T81" s="544">
        <v>100</v>
      </c>
      <c r="U81" s="544"/>
      <c r="V81" s="544"/>
      <c r="W81" s="544"/>
      <c r="X81" s="544"/>
      <c r="Y81" s="185"/>
    </row>
    <row r="82" spans="12:25" x14ac:dyDescent="0.35">
      <c r="L82" s="544"/>
      <c r="M82" s="544"/>
      <c r="N82" s="544"/>
      <c r="O82" s="544"/>
      <c r="P82" s="544"/>
      <c r="Q82" s="544"/>
      <c r="R82" s="544"/>
      <c r="S82" s="544">
        <v>80</v>
      </c>
      <c r="T82" s="544">
        <v>100</v>
      </c>
      <c r="U82" s="544"/>
      <c r="V82" s="544"/>
      <c r="W82" s="544"/>
      <c r="X82" s="544"/>
      <c r="Y82" s="185"/>
    </row>
    <row r="83" spans="12:25" x14ac:dyDescent="0.35">
      <c r="L83" s="544"/>
      <c r="M83" s="544"/>
      <c r="N83" s="544"/>
      <c r="O83" s="544"/>
      <c r="P83" s="544"/>
      <c r="Q83" s="544"/>
      <c r="R83" s="544"/>
      <c r="S83" s="544">
        <v>81</v>
      </c>
      <c r="T83" s="544">
        <v>100</v>
      </c>
      <c r="U83" s="544"/>
      <c r="V83" s="544"/>
      <c r="W83" s="544"/>
      <c r="X83" s="544"/>
      <c r="Y83" s="185"/>
    </row>
    <row r="84" spans="12:25" x14ac:dyDescent="0.35">
      <c r="L84" s="544"/>
      <c r="M84" s="544"/>
      <c r="N84" s="544"/>
      <c r="O84" s="544"/>
      <c r="P84" s="544"/>
      <c r="Q84" s="544"/>
      <c r="R84" s="544"/>
      <c r="S84" s="544">
        <v>82</v>
      </c>
      <c r="T84" s="544">
        <v>100</v>
      </c>
      <c r="U84" s="544"/>
      <c r="V84" s="544"/>
      <c r="W84" s="544"/>
      <c r="X84" s="544"/>
      <c r="Y84" s="185"/>
    </row>
    <row r="85" spans="12:25" x14ac:dyDescent="0.35">
      <c r="L85" s="544"/>
      <c r="M85" s="544"/>
      <c r="N85" s="544"/>
      <c r="O85" s="544"/>
      <c r="P85" s="544"/>
      <c r="Q85" s="544"/>
      <c r="R85" s="544"/>
      <c r="S85" s="544">
        <v>83</v>
      </c>
      <c r="T85" s="544">
        <v>100</v>
      </c>
      <c r="U85" s="544"/>
      <c r="V85" s="544"/>
      <c r="W85" s="544"/>
      <c r="X85" s="544"/>
      <c r="Y85" s="185"/>
    </row>
    <row r="86" spans="12:25" x14ac:dyDescent="0.35">
      <c r="L86" s="544"/>
      <c r="M86" s="544"/>
      <c r="N86" s="544"/>
      <c r="O86" s="544"/>
      <c r="P86" s="544"/>
      <c r="Q86" s="544"/>
      <c r="R86" s="544"/>
      <c r="S86" s="544">
        <v>84</v>
      </c>
      <c r="T86" s="544">
        <v>100</v>
      </c>
      <c r="U86" s="544"/>
      <c r="V86" s="544"/>
      <c r="W86" s="544"/>
      <c r="X86" s="544"/>
      <c r="Y86" s="185"/>
    </row>
    <row r="87" spans="12:25" x14ac:dyDescent="0.35">
      <c r="L87" s="544"/>
      <c r="M87" s="544"/>
      <c r="N87" s="544"/>
      <c r="O87" s="544"/>
      <c r="P87" s="544"/>
      <c r="Q87" s="544"/>
      <c r="R87" s="544"/>
      <c r="S87" s="544">
        <v>85</v>
      </c>
      <c r="T87" s="544">
        <v>100</v>
      </c>
      <c r="U87" s="544"/>
      <c r="V87" s="544"/>
      <c r="W87" s="544"/>
      <c r="X87" s="544"/>
      <c r="Y87" s="185"/>
    </row>
    <row r="88" spans="12:25" x14ac:dyDescent="0.35">
      <c r="L88" s="544"/>
      <c r="M88" s="544"/>
      <c r="N88" s="544"/>
      <c r="O88" s="544"/>
      <c r="P88" s="544"/>
      <c r="Q88" s="544"/>
      <c r="R88" s="544"/>
      <c r="S88" s="544">
        <v>86</v>
      </c>
      <c r="T88" s="544">
        <v>100</v>
      </c>
      <c r="U88" s="544"/>
      <c r="V88" s="544"/>
      <c r="W88" s="544"/>
      <c r="X88" s="544"/>
      <c r="Y88" s="185"/>
    </row>
    <row r="89" spans="12:25" x14ac:dyDescent="0.35">
      <c r="L89" s="544"/>
      <c r="M89" s="544"/>
      <c r="N89" s="544"/>
      <c r="O89" s="544"/>
      <c r="P89" s="544"/>
      <c r="Q89" s="544"/>
      <c r="R89" s="544"/>
      <c r="S89" s="544">
        <v>87</v>
      </c>
      <c r="T89" s="544">
        <v>100</v>
      </c>
      <c r="U89" s="544"/>
      <c r="V89" s="544"/>
      <c r="W89" s="544"/>
      <c r="X89" s="544"/>
      <c r="Y89" s="185"/>
    </row>
    <row r="90" spans="12:25" x14ac:dyDescent="0.35">
      <c r="L90" s="544"/>
      <c r="M90" s="544"/>
      <c r="N90" s="544"/>
      <c r="O90" s="544"/>
      <c r="P90" s="544"/>
      <c r="Q90" s="544"/>
      <c r="R90" s="544"/>
      <c r="S90" s="544">
        <v>88</v>
      </c>
      <c r="T90" s="544">
        <v>100</v>
      </c>
      <c r="U90" s="544"/>
      <c r="V90" s="544"/>
      <c r="W90" s="544"/>
      <c r="X90" s="544"/>
      <c r="Y90" s="185"/>
    </row>
    <row r="91" spans="12:25" x14ac:dyDescent="0.35">
      <c r="L91" s="544"/>
      <c r="M91" s="544"/>
      <c r="N91" s="544"/>
      <c r="O91" s="544"/>
      <c r="P91" s="544"/>
      <c r="Q91" s="544"/>
      <c r="R91" s="544"/>
      <c r="S91" s="544">
        <v>89</v>
      </c>
      <c r="T91" s="544">
        <v>100</v>
      </c>
      <c r="U91" s="544"/>
      <c r="V91" s="544"/>
      <c r="W91" s="544"/>
      <c r="X91" s="544"/>
      <c r="Y91" s="185"/>
    </row>
    <row r="92" spans="12:25" x14ac:dyDescent="0.35">
      <c r="L92" s="544"/>
      <c r="M92" s="544"/>
      <c r="N92" s="544"/>
      <c r="O92" s="544"/>
      <c r="P92" s="544"/>
      <c r="Q92" s="544"/>
      <c r="R92" s="544"/>
      <c r="S92" s="544">
        <v>90</v>
      </c>
      <c r="T92" s="544">
        <v>100</v>
      </c>
      <c r="U92" s="544"/>
      <c r="V92" s="544"/>
      <c r="W92" s="544"/>
      <c r="X92" s="544"/>
      <c r="Y92" s="185"/>
    </row>
    <row r="93" spans="12:25" x14ac:dyDescent="0.35">
      <c r="L93" s="544"/>
      <c r="M93" s="544"/>
      <c r="N93" s="544"/>
      <c r="O93" s="544"/>
      <c r="P93" s="544"/>
      <c r="Q93" s="544"/>
      <c r="R93" s="544"/>
      <c r="S93" s="544">
        <v>91</v>
      </c>
      <c r="T93" s="544">
        <v>100</v>
      </c>
      <c r="U93" s="544"/>
      <c r="V93" s="544"/>
      <c r="W93" s="544"/>
      <c r="X93" s="544"/>
      <c r="Y93" s="185"/>
    </row>
    <row r="94" spans="12:25" x14ac:dyDescent="0.35">
      <c r="L94" s="544"/>
      <c r="M94" s="544"/>
      <c r="N94" s="544"/>
      <c r="O94" s="544"/>
      <c r="P94" s="544"/>
      <c r="Q94" s="544"/>
      <c r="R94" s="544"/>
      <c r="S94" s="544">
        <v>92</v>
      </c>
      <c r="T94" s="544">
        <v>100</v>
      </c>
      <c r="U94" s="544"/>
      <c r="V94" s="544"/>
      <c r="W94" s="544"/>
      <c r="X94" s="544"/>
      <c r="Y94" s="185"/>
    </row>
    <row r="95" spans="12:25" x14ac:dyDescent="0.35">
      <c r="L95" s="544"/>
      <c r="M95" s="544"/>
      <c r="N95" s="544"/>
      <c r="O95" s="544"/>
      <c r="P95" s="544"/>
      <c r="Q95" s="544"/>
      <c r="R95" s="544"/>
      <c r="S95" s="544">
        <v>93</v>
      </c>
      <c r="T95" s="544">
        <v>100</v>
      </c>
      <c r="U95" s="544"/>
      <c r="V95" s="544"/>
      <c r="W95" s="544"/>
      <c r="X95" s="544"/>
      <c r="Y95" s="185"/>
    </row>
    <row r="96" spans="12:25" x14ac:dyDescent="0.35">
      <c r="L96" s="544"/>
      <c r="M96" s="544"/>
      <c r="N96" s="544"/>
      <c r="O96" s="544"/>
      <c r="P96" s="544"/>
      <c r="Q96" s="544"/>
      <c r="R96" s="544"/>
      <c r="S96" s="544">
        <v>94</v>
      </c>
      <c r="T96" s="544">
        <v>100</v>
      </c>
      <c r="U96" s="544"/>
      <c r="V96" s="544"/>
      <c r="W96" s="544"/>
      <c r="X96" s="544"/>
      <c r="Y96" s="185"/>
    </row>
    <row r="97" spans="12:25" x14ac:dyDescent="0.35">
      <c r="L97" s="544"/>
      <c r="M97" s="544"/>
      <c r="N97" s="544"/>
      <c r="O97" s="544"/>
      <c r="P97" s="544"/>
      <c r="Q97" s="544"/>
      <c r="R97" s="544"/>
      <c r="S97" s="544">
        <v>95</v>
      </c>
      <c r="T97" s="544">
        <v>100</v>
      </c>
      <c r="U97" s="544"/>
      <c r="V97" s="544"/>
      <c r="W97" s="544"/>
      <c r="X97" s="544"/>
      <c r="Y97" s="185"/>
    </row>
    <row r="98" spans="12:25" x14ac:dyDescent="0.35">
      <c r="L98" s="544"/>
      <c r="M98" s="544"/>
      <c r="N98" s="544"/>
      <c r="O98" s="544"/>
      <c r="P98" s="544"/>
      <c r="Q98" s="544"/>
      <c r="R98" s="544"/>
      <c r="S98" s="544">
        <v>96</v>
      </c>
      <c r="T98" s="544">
        <v>100</v>
      </c>
      <c r="U98" s="544"/>
      <c r="V98" s="544"/>
      <c r="W98" s="544"/>
      <c r="X98" s="544"/>
      <c r="Y98" s="185"/>
    </row>
    <row r="99" spans="12:25" x14ac:dyDescent="0.35">
      <c r="L99" s="544"/>
      <c r="M99" s="544"/>
      <c r="N99" s="544"/>
      <c r="O99" s="544"/>
      <c r="P99" s="544"/>
      <c r="Q99" s="544"/>
      <c r="R99" s="544"/>
      <c r="S99" s="544">
        <v>97</v>
      </c>
      <c r="T99" s="544">
        <v>100</v>
      </c>
      <c r="U99" s="544"/>
      <c r="V99" s="544"/>
      <c r="W99" s="544"/>
      <c r="X99" s="544"/>
      <c r="Y99" s="185"/>
    </row>
    <row r="100" spans="12:25" x14ac:dyDescent="0.35">
      <c r="L100" s="544"/>
      <c r="M100" s="544"/>
      <c r="N100" s="544"/>
      <c r="O100" s="544"/>
      <c r="P100" s="544"/>
      <c r="Q100" s="544"/>
      <c r="R100" s="544"/>
      <c r="S100" s="544">
        <v>98</v>
      </c>
      <c r="T100" s="544">
        <v>100</v>
      </c>
      <c r="U100" s="544"/>
      <c r="V100" s="544"/>
      <c r="W100" s="544"/>
      <c r="X100" s="544"/>
      <c r="Y100" s="185"/>
    </row>
    <row r="101" spans="12:25" x14ac:dyDescent="0.35">
      <c r="L101" s="544"/>
      <c r="M101" s="544"/>
      <c r="N101" s="544"/>
      <c r="O101" s="544"/>
      <c r="P101" s="544"/>
      <c r="Q101" s="544"/>
      <c r="R101" s="544"/>
      <c r="S101" s="544">
        <v>99</v>
      </c>
      <c r="T101" s="544">
        <v>100</v>
      </c>
      <c r="U101" s="544"/>
      <c r="V101" s="544"/>
      <c r="W101" s="544"/>
      <c r="X101" s="544"/>
      <c r="Y101" s="185"/>
    </row>
    <row r="102" spans="12:25" x14ac:dyDescent="0.35">
      <c r="L102" s="544"/>
      <c r="M102" s="544"/>
      <c r="N102" s="544"/>
      <c r="O102" s="544"/>
      <c r="P102" s="544"/>
      <c r="Q102" s="544"/>
      <c r="R102" s="544"/>
      <c r="S102" s="544">
        <v>100</v>
      </c>
      <c r="T102" s="544">
        <v>100</v>
      </c>
      <c r="U102" s="544">
        <v>100</v>
      </c>
      <c r="V102" s="544"/>
      <c r="W102" s="544"/>
      <c r="X102" s="544"/>
      <c r="Y102" s="185"/>
    </row>
    <row r="103" spans="12:25" x14ac:dyDescent="0.35">
      <c r="L103" s="544"/>
      <c r="M103" s="544"/>
      <c r="N103" s="544"/>
      <c r="O103" s="544"/>
      <c r="P103" s="544"/>
      <c r="Q103" s="544"/>
      <c r="R103" s="544"/>
      <c r="S103" s="544">
        <v>101</v>
      </c>
      <c r="T103" s="544">
        <v>150</v>
      </c>
      <c r="U103" s="544"/>
      <c r="V103" s="544"/>
      <c r="W103" s="544"/>
      <c r="X103" s="544"/>
      <c r="Y103" s="185"/>
    </row>
    <row r="104" spans="12:25" x14ac:dyDescent="0.35">
      <c r="L104" s="544"/>
      <c r="M104" s="544"/>
      <c r="N104" s="544"/>
      <c r="O104" s="544"/>
      <c r="P104" s="544"/>
      <c r="Q104" s="544"/>
      <c r="R104" s="544"/>
      <c r="S104" s="544">
        <v>102</v>
      </c>
      <c r="T104" s="544">
        <v>150</v>
      </c>
      <c r="U104" s="544"/>
      <c r="V104" s="544"/>
      <c r="W104" s="544"/>
      <c r="X104" s="544"/>
      <c r="Y104" s="185"/>
    </row>
    <row r="105" spans="12:25" x14ac:dyDescent="0.35">
      <c r="L105" s="544"/>
      <c r="M105" s="544"/>
      <c r="N105" s="544"/>
      <c r="O105" s="544"/>
      <c r="P105" s="544"/>
      <c r="Q105" s="544"/>
      <c r="R105" s="544"/>
      <c r="S105" s="544">
        <v>103</v>
      </c>
      <c r="T105" s="544">
        <v>150</v>
      </c>
      <c r="U105" s="544"/>
      <c r="V105" s="544"/>
      <c r="W105" s="544"/>
      <c r="X105" s="544"/>
      <c r="Y105" s="185"/>
    </row>
    <row r="106" spans="12:25" x14ac:dyDescent="0.35">
      <c r="L106" s="544"/>
      <c r="M106" s="544"/>
      <c r="N106" s="544"/>
      <c r="O106" s="544"/>
      <c r="P106" s="544"/>
      <c r="Q106" s="544"/>
      <c r="R106" s="544"/>
      <c r="S106" s="544">
        <v>104</v>
      </c>
      <c r="T106" s="544">
        <v>150</v>
      </c>
      <c r="U106" s="544"/>
      <c r="V106" s="544"/>
      <c r="W106" s="544"/>
      <c r="X106" s="544"/>
      <c r="Y106" s="185"/>
    </row>
    <row r="107" spans="12:25" x14ac:dyDescent="0.35">
      <c r="L107" s="544"/>
      <c r="M107" s="544"/>
      <c r="N107" s="544"/>
      <c r="O107" s="544"/>
      <c r="P107" s="544"/>
      <c r="Q107" s="544"/>
      <c r="R107" s="544"/>
      <c r="S107" s="544">
        <v>105</v>
      </c>
      <c r="T107" s="544">
        <v>150</v>
      </c>
      <c r="U107" s="544"/>
      <c r="V107" s="544"/>
      <c r="W107" s="544"/>
      <c r="X107" s="544"/>
      <c r="Y107" s="185"/>
    </row>
    <row r="108" spans="12:25" x14ac:dyDescent="0.35">
      <c r="L108" s="544"/>
      <c r="M108" s="544"/>
      <c r="N108" s="544"/>
      <c r="O108" s="544"/>
      <c r="P108" s="544"/>
      <c r="Q108" s="544"/>
      <c r="R108" s="544"/>
      <c r="S108" s="544">
        <v>106</v>
      </c>
      <c r="T108" s="544">
        <v>150</v>
      </c>
      <c r="U108" s="544"/>
      <c r="V108" s="544"/>
      <c r="W108" s="544"/>
      <c r="X108" s="544"/>
      <c r="Y108" s="185"/>
    </row>
    <row r="109" spans="12:25" x14ac:dyDescent="0.35">
      <c r="L109" s="544"/>
      <c r="M109" s="544"/>
      <c r="N109" s="544"/>
      <c r="O109" s="544"/>
      <c r="P109" s="544"/>
      <c r="Q109" s="544"/>
      <c r="R109" s="544"/>
      <c r="S109" s="544">
        <v>107</v>
      </c>
      <c r="T109" s="544">
        <v>150</v>
      </c>
      <c r="U109" s="544"/>
      <c r="V109" s="544"/>
      <c r="W109" s="544"/>
      <c r="X109" s="544"/>
      <c r="Y109" s="185"/>
    </row>
    <row r="110" spans="12:25" x14ac:dyDescent="0.35">
      <c r="L110" s="544"/>
      <c r="M110" s="544"/>
      <c r="N110" s="544"/>
      <c r="O110" s="544"/>
      <c r="P110" s="544"/>
      <c r="Q110" s="544"/>
      <c r="R110" s="544"/>
      <c r="S110" s="544">
        <v>108</v>
      </c>
      <c r="T110" s="544">
        <v>150</v>
      </c>
      <c r="U110" s="544"/>
      <c r="V110" s="544"/>
      <c r="W110" s="544"/>
      <c r="X110" s="544"/>
      <c r="Y110" s="185"/>
    </row>
    <row r="111" spans="12:25" x14ac:dyDescent="0.35">
      <c r="L111" s="544"/>
      <c r="M111" s="544"/>
      <c r="N111" s="544"/>
      <c r="O111" s="544"/>
      <c r="P111" s="544"/>
      <c r="Q111" s="544"/>
      <c r="R111" s="544"/>
      <c r="S111" s="544">
        <v>109</v>
      </c>
      <c r="T111" s="544">
        <v>150</v>
      </c>
      <c r="U111" s="544"/>
      <c r="V111" s="544"/>
      <c r="W111" s="544"/>
      <c r="X111" s="544"/>
      <c r="Y111" s="185"/>
    </row>
    <row r="112" spans="12:25" x14ac:dyDescent="0.35">
      <c r="L112" s="544"/>
      <c r="M112" s="544"/>
      <c r="N112" s="544"/>
      <c r="O112" s="544"/>
      <c r="P112" s="544"/>
      <c r="Q112" s="544"/>
      <c r="R112" s="544"/>
      <c r="S112" s="544">
        <v>110</v>
      </c>
      <c r="T112" s="544">
        <v>150</v>
      </c>
      <c r="U112" s="544"/>
      <c r="V112" s="544"/>
      <c r="W112" s="544"/>
      <c r="X112" s="544"/>
      <c r="Y112" s="185"/>
    </row>
    <row r="113" spans="12:25" x14ac:dyDescent="0.35">
      <c r="L113" s="544"/>
      <c r="M113" s="544"/>
      <c r="N113" s="544"/>
      <c r="O113" s="544"/>
      <c r="P113" s="544"/>
      <c r="Q113" s="544"/>
      <c r="R113" s="544"/>
      <c r="S113" s="544">
        <v>111</v>
      </c>
      <c r="T113" s="544">
        <v>150</v>
      </c>
      <c r="U113" s="544"/>
      <c r="V113" s="544"/>
      <c r="W113" s="544"/>
      <c r="X113" s="544"/>
      <c r="Y113" s="185"/>
    </row>
    <row r="114" spans="12:25" x14ac:dyDescent="0.35">
      <c r="L114" s="544"/>
      <c r="M114" s="544"/>
      <c r="N114" s="544"/>
      <c r="O114" s="544"/>
      <c r="P114" s="544"/>
      <c r="Q114" s="544"/>
      <c r="R114" s="544"/>
      <c r="S114" s="544">
        <v>112</v>
      </c>
      <c r="T114" s="544">
        <v>150</v>
      </c>
      <c r="U114" s="544"/>
      <c r="V114" s="544"/>
      <c r="W114" s="544"/>
      <c r="X114" s="544"/>
      <c r="Y114" s="185"/>
    </row>
    <row r="115" spans="12:25" x14ac:dyDescent="0.35">
      <c r="L115" s="544"/>
      <c r="M115" s="544"/>
      <c r="N115" s="544"/>
      <c r="O115" s="544"/>
      <c r="P115" s="544"/>
      <c r="Q115" s="544"/>
      <c r="R115" s="544"/>
      <c r="S115" s="544">
        <v>113</v>
      </c>
      <c r="T115" s="544">
        <v>150</v>
      </c>
      <c r="U115" s="544"/>
      <c r="V115" s="544"/>
      <c r="W115" s="544"/>
      <c r="X115" s="544"/>
      <c r="Y115" s="185"/>
    </row>
    <row r="116" spans="12:25" x14ac:dyDescent="0.35">
      <c r="L116" s="544"/>
      <c r="M116" s="544"/>
      <c r="N116" s="544"/>
      <c r="O116" s="544"/>
      <c r="P116" s="544"/>
      <c r="Q116" s="544"/>
      <c r="R116" s="544"/>
      <c r="S116" s="544">
        <v>114</v>
      </c>
      <c r="T116" s="544">
        <v>150</v>
      </c>
      <c r="U116" s="544"/>
      <c r="V116" s="544"/>
      <c r="W116" s="544"/>
      <c r="X116" s="544"/>
      <c r="Y116" s="185"/>
    </row>
    <row r="117" spans="12:25" x14ac:dyDescent="0.35">
      <c r="L117" s="544"/>
      <c r="M117" s="544"/>
      <c r="N117" s="544"/>
      <c r="O117" s="544"/>
      <c r="P117" s="544"/>
      <c r="Q117" s="544"/>
      <c r="R117" s="544"/>
      <c r="S117" s="544">
        <v>115</v>
      </c>
      <c r="T117" s="544">
        <v>150</v>
      </c>
      <c r="U117" s="544"/>
      <c r="V117" s="544"/>
      <c r="W117" s="544"/>
      <c r="X117" s="544"/>
      <c r="Y117" s="185"/>
    </row>
    <row r="118" spans="12:25" x14ac:dyDescent="0.35">
      <c r="L118" s="544"/>
      <c r="M118" s="544"/>
      <c r="N118" s="544"/>
      <c r="O118" s="544"/>
      <c r="P118" s="544"/>
      <c r="Q118" s="544"/>
      <c r="R118" s="544"/>
      <c r="S118" s="544">
        <v>116</v>
      </c>
      <c r="T118" s="544">
        <v>150</v>
      </c>
      <c r="U118" s="544"/>
      <c r="V118" s="544"/>
      <c r="W118" s="544"/>
      <c r="X118" s="544"/>
      <c r="Y118" s="185"/>
    </row>
    <row r="119" spans="12:25" x14ac:dyDescent="0.35">
      <c r="L119" s="544"/>
      <c r="M119" s="544"/>
      <c r="N119" s="544"/>
      <c r="O119" s="544"/>
      <c r="P119" s="544"/>
      <c r="Q119" s="544"/>
      <c r="R119" s="544"/>
      <c r="S119" s="544">
        <v>117</v>
      </c>
      <c r="T119" s="544">
        <v>150</v>
      </c>
      <c r="U119" s="544"/>
      <c r="V119" s="544"/>
      <c r="W119" s="544"/>
      <c r="X119" s="544"/>
      <c r="Y119" s="185"/>
    </row>
    <row r="120" spans="12:25" x14ac:dyDescent="0.35">
      <c r="L120" s="544"/>
      <c r="M120" s="544"/>
      <c r="N120" s="544"/>
      <c r="O120" s="544"/>
      <c r="P120" s="544"/>
      <c r="Q120" s="544"/>
      <c r="R120" s="544"/>
      <c r="S120" s="544">
        <v>118</v>
      </c>
      <c r="T120" s="544">
        <v>150</v>
      </c>
      <c r="U120" s="544"/>
      <c r="V120" s="544"/>
      <c r="W120" s="544"/>
      <c r="X120" s="544"/>
      <c r="Y120" s="185"/>
    </row>
    <row r="121" spans="12:25" x14ac:dyDescent="0.35">
      <c r="L121" s="544"/>
      <c r="M121" s="544"/>
      <c r="N121" s="544"/>
      <c r="O121" s="544"/>
      <c r="P121" s="544"/>
      <c r="Q121" s="544"/>
      <c r="R121" s="544"/>
      <c r="S121" s="544">
        <v>119</v>
      </c>
      <c r="T121" s="544">
        <v>150</v>
      </c>
      <c r="U121" s="544"/>
      <c r="V121" s="544"/>
      <c r="W121" s="544"/>
      <c r="X121" s="544"/>
      <c r="Y121" s="185"/>
    </row>
    <row r="122" spans="12:25" x14ac:dyDescent="0.35">
      <c r="L122" s="544"/>
      <c r="M122" s="544"/>
      <c r="N122" s="544"/>
      <c r="O122" s="544"/>
      <c r="P122" s="544"/>
      <c r="Q122" s="544"/>
      <c r="R122" s="544"/>
      <c r="S122" s="544">
        <v>120</v>
      </c>
      <c r="T122" s="544">
        <v>150</v>
      </c>
      <c r="U122" s="544"/>
      <c r="V122" s="544"/>
      <c r="W122" s="544"/>
      <c r="X122" s="544"/>
      <c r="Y122" s="185"/>
    </row>
    <row r="123" spans="12:25" x14ac:dyDescent="0.35">
      <c r="L123" s="544"/>
      <c r="M123" s="544"/>
      <c r="N123" s="544"/>
      <c r="O123" s="544"/>
      <c r="P123" s="544"/>
      <c r="Q123" s="544"/>
      <c r="R123" s="544"/>
      <c r="S123" s="544">
        <v>121</v>
      </c>
      <c r="T123" s="544">
        <v>150</v>
      </c>
      <c r="U123" s="544"/>
      <c r="V123" s="544"/>
      <c r="W123" s="544"/>
      <c r="X123" s="544"/>
      <c r="Y123" s="185"/>
    </row>
    <row r="124" spans="12:25" x14ac:dyDescent="0.35">
      <c r="L124" s="544"/>
      <c r="M124" s="544"/>
      <c r="N124" s="544"/>
      <c r="O124" s="544"/>
      <c r="P124" s="544"/>
      <c r="Q124" s="544"/>
      <c r="R124" s="544"/>
      <c r="S124" s="544">
        <v>122</v>
      </c>
      <c r="T124" s="544">
        <v>150</v>
      </c>
      <c r="U124" s="544"/>
      <c r="V124" s="544"/>
      <c r="W124" s="544"/>
      <c r="X124" s="544"/>
      <c r="Y124" s="185"/>
    </row>
    <row r="125" spans="12:25" x14ac:dyDescent="0.35">
      <c r="L125" s="544"/>
      <c r="M125" s="544"/>
      <c r="N125" s="544"/>
      <c r="O125" s="544"/>
      <c r="P125" s="544"/>
      <c r="Q125" s="544"/>
      <c r="R125" s="544"/>
      <c r="S125" s="544">
        <v>123</v>
      </c>
      <c r="T125" s="544">
        <v>150</v>
      </c>
      <c r="U125" s="544"/>
      <c r="V125" s="544"/>
      <c r="W125" s="544"/>
      <c r="X125" s="544"/>
      <c r="Y125" s="185"/>
    </row>
    <row r="126" spans="12:25" x14ac:dyDescent="0.35">
      <c r="L126" s="544"/>
      <c r="M126" s="544"/>
      <c r="N126" s="544"/>
      <c r="O126" s="544"/>
      <c r="P126" s="544"/>
      <c r="Q126" s="544"/>
      <c r="R126" s="544"/>
      <c r="S126" s="544">
        <v>124</v>
      </c>
      <c r="T126" s="544">
        <v>150</v>
      </c>
      <c r="U126" s="544"/>
      <c r="V126" s="544"/>
      <c r="W126" s="544"/>
      <c r="X126" s="544"/>
      <c r="Y126" s="185"/>
    </row>
    <row r="127" spans="12:25" x14ac:dyDescent="0.35">
      <c r="L127" s="544"/>
      <c r="M127" s="544"/>
      <c r="N127" s="544"/>
      <c r="O127" s="544"/>
      <c r="P127" s="544"/>
      <c r="Q127" s="544"/>
      <c r="R127" s="544"/>
      <c r="S127" s="544">
        <v>125</v>
      </c>
      <c r="T127" s="544">
        <v>150</v>
      </c>
      <c r="U127" s="544"/>
      <c r="V127" s="544"/>
      <c r="W127" s="544"/>
      <c r="X127" s="544"/>
      <c r="Y127" s="185"/>
    </row>
    <row r="128" spans="12:25" x14ac:dyDescent="0.35">
      <c r="L128" s="544"/>
      <c r="M128" s="544"/>
      <c r="N128" s="544"/>
      <c r="O128" s="544"/>
      <c r="P128" s="544"/>
      <c r="Q128" s="544"/>
      <c r="R128" s="544"/>
      <c r="S128" s="544">
        <v>126</v>
      </c>
      <c r="T128" s="544">
        <v>150</v>
      </c>
      <c r="U128" s="544"/>
      <c r="V128" s="544"/>
      <c r="W128" s="544"/>
      <c r="X128" s="544"/>
      <c r="Y128" s="185"/>
    </row>
    <row r="129" spans="12:25" x14ac:dyDescent="0.35">
      <c r="L129" s="544"/>
      <c r="M129" s="544"/>
      <c r="N129" s="544"/>
      <c r="O129" s="544"/>
      <c r="P129" s="544"/>
      <c r="Q129" s="544"/>
      <c r="R129" s="544"/>
      <c r="S129" s="544">
        <v>127</v>
      </c>
      <c r="T129" s="544">
        <v>150</v>
      </c>
      <c r="U129" s="544"/>
      <c r="V129" s="544"/>
      <c r="W129" s="544"/>
      <c r="X129" s="544"/>
      <c r="Y129" s="185"/>
    </row>
    <row r="130" spans="12:25" x14ac:dyDescent="0.35">
      <c r="L130" s="544"/>
      <c r="M130" s="544"/>
      <c r="N130" s="544"/>
      <c r="O130" s="544"/>
      <c r="P130" s="544"/>
      <c r="Q130" s="544"/>
      <c r="R130" s="544"/>
      <c r="S130" s="544">
        <v>128</v>
      </c>
      <c r="T130" s="544">
        <v>150</v>
      </c>
      <c r="U130" s="544"/>
      <c r="V130" s="544"/>
      <c r="W130" s="544"/>
      <c r="X130" s="544"/>
      <c r="Y130" s="185"/>
    </row>
    <row r="131" spans="12:25" x14ac:dyDescent="0.35">
      <c r="L131" s="544"/>
      <c r="M131" s="544"/>
      <c r="N131" s="544"/>
      <c r="O131" s="544"/>
      <c r="P131" s="544"/>
      <c r="Q131" s="544"/>
      <c r="R131" s="544"/>
      <c r="S131" s="544">
        <v>129</v>
      </c>
      <c r="T131" s="544">
        <v>150</v>
      </c>
      <c r="U131" s="544"/>
      <c r="V131" s="544"/>
      <c r="W131" s="544"/>
      <c r="X131" s="544"/>
      <c r="Y131" s="185"/>
    </row>
    <row r="132" spans="12:25" x14ac:dyDescent="0.35">
      <c r="L132" s="544"/>
      <c r="M132" s="544"/>
      <c r="N132" s="544"/>
      <c r="O132" s="544"/>
      <c r="P132" s="544"/>
      <c r="Q132" s="544"/>
      <c r="R132" s="544"/>
      <c r="S132" s="544">
        <v>130</v>
      </c>
      <c r="T132" s="544">
        <v>150</v>
      </c>
      <c r="U132" s="544"/>
      <c r="V132" s="544"/>
      <c r="W132" s="544"/>
      <c r="X132" s="544"/>
      <c r="Y132" s="185"/>
    </row>
    <row r="133" spans="12:25" x14ac:dyDescent="0.35">
      <c r="L133" s="544"/>
      <c r="M133" s="544"/>
      <c r="N133" s="544"/>
      <c r="O133" s="544"/>
      <c r="P133" s="544"/>
      <c r="Q133" s="544"/>
      <c r="R133" s="544"/>
      <c r="S133" s="544">
        <v>131</v>
      </c>
      <c r="T133" s="544">
        <v>150</v>
      </c>
      <c r="U133" s="544"/>
      <c r="V133" s="544"/>
      <c r="W133" s="544"/>
      <c r="X133" s="544"/>
      <c r="Y133" s="185"/>
    </row>
    <row r="134" spans="12:25" x14ac:dyDescent="0.35">
      <c r="L134" s="544"/>
      <c r="M134" s="544"/>
      <c r="N134" s="544"/>
      <c r="O134" s="544"/>
      <c r="P134" s="544"/>
      <c r="Q134" s="544"/>
      <c r="R134" s="544"/>
      <c r="S134" s="544">
        <v>132</v>
      </c>
      <c r="T134" s="544">
        <v>150</v>
      </c>
      <c r="U134" s="544"/>
      <c r="V134" s="544"/>
      <c r="W134" s="544"/>
      <c r="X134" s="544"/>
      <c r="Y134" s="185"/>
    </row>
    <row r="135" spans="12:25" x14ac:dyDescent="0.35">
      <c r="L135" s="544"/>
      <c r="M135" s="544"/>
      <c r="N135" s="544"/>
      <c r="O135" s="544"/>
      <c r="P135" s="544"/>
      <c r="Q135" s="544"/>
      <c r="R135" s="544"/>
      <c r="S135" s="544">
        <v>133</v>
      </c>
      <c r="T135" s="544">
        <v>150</v>
      </c>
      <c r="U135" s="544"/>
      <c r="V135" s="544"/>
      <c r="W135" s="544"/>
      <c r="X135" s="544"/>
      <c r="Y135" s="185"/>
    </row>
    <row r="136" spans="12:25" x14ac:dyDescent="0.35">
      <c r="L136" s="544"/>
      <c r="M136" s="544"/>
      <c r="N136" s="544"/>
      <c r="O136" s="544"/>
      <c r="P136" s="544"/>
      <c r="Q136" s="544"/>
      <c r="R136" s="544"/>
      <c r="S136" s="544">
        <v>134</v>
      </c>
      <c r="T136" s="544">
        <v>150</v>
      </c>
      <c r="U136" s="544"/>
      <c r="V136" s="544"/>
      <c r="W136" s="544"/>
      <c r="X136" s="544"/>
      <c r="Y136" s="185"/>
    </row>
    <row r="137" spans="12:25" x14ac:dyDescent="0.35">
      <c r="L137" s="544"/>
      <c r="M137" s="544"/>
      <c r="N137" s="544"/>
      <c r="O137" s="544"/>
      <c r="P137" s="544"/>
      <c r="Q137" s="544"/>
      <c r="R137" s="544"/>
      <c r="S137" s="544">
        <v>135</v>
      </c>
      <c r="T137" s="544">
        <v>150</v>
      </c>
      <c r="U137" s="544"/>
      <c r="V137" s="544"/>
      <c r="W137" s="544"/>
      <c r="X137" s="544"/>
      <c r="Y137" s="185"/>
    </row>
    <row r="138" spans="12:25" x14ac:dyDescent="0.35">
      <c r="L138" s="544"/>
      <c r="M138" s="544"/>
      <c r="N138" s="544"/>
      <c r="O138" s="544"/>
      <c r="P138" s="544"/>
      <c r="Q138" s="544"/>
      <c r="R138" s="544"/>
      <c r="S138" s="544">
        <v>136</v>
      </c>
      <c r="T138" s="544">
        <v>150</v>
      </c>
      <c r="U138" s="544"/>
      <c r="V138" s="544"/>
      <c r="W138" s="544"/>
      <c r="X138" s="544"/>
      <c r="Y138" s="185"/>
    </row>
    <row r="139" spans="12:25" x14ac:dyDescent="0.35">
      <c r="L139" s="544"/>
      <c r="M139" s="544"/>
      <c r="N139" s="544"/>
      <c r="O139" s="544"/>
      <c r="P139" s="544"/>
      <c r="Q139" s="544"/>
      <c r="R139" s="544"/>
      <c r="S139" s="544">
        <v>137</v>
      </c>
      <c r="T139" s="544">
        <v>150</v>
      </c>
      <c r="U139" s="544"/>
      <c r="V139" s="544"/>
      <c r="W139" s="544"/>
      <c r="X139" s="544"/>
      <c r="Y139" s="185"/>
    </row>
    <row r="140" spans="12:25" x14ac:dyDescent="0.35">
      <c r="L140" s="544"/>
      <c r="M140" s="544"/>
      <c r="N140" s="544"/>
      <c r="O140" s="544"/>
      <c r="P140" s="544"/>
      <c r="Q140" s="544"/>
      <c r="R140" s="544"/>
      <c r="S140" s="544">
        <v>138</v>
      </c>
      <c r="T140" s="544">
        <v>150</v>
      </c>
      <c r="U140" s="544"/>
      <c r="V140" s="544"/>
      <c r="W140" s="544"/>
      <c r="X140" s="544"/>
      <c r="Y140" s="185"/>
    </row>
    <row r="141" spans="12:25" x14ac:dyDescent="0.35">
      <c r="L141" s="544"/>
      <c r="M141" s="544"/>
      <c r="N141" s="544"/>
      <c r="O141" s="544"/>
      <c r="P141" s="544"/>
      <c r="Q141" s="544"/>
      <c r="R141" s="544"/>
      <c r="S141" s="544">
        <v>139</v>
      </c>
      <c r="T141" s="544">
        <v>150</v>
      </c>
      <c r="U141" s="544"/>
      <c r="V141" s="544"/>
      <c r="W141" s="544"/>
      <c r="X141" s="544"/>
      <c r="Y141" s="185"/>
    </row>
    <row r="142" spans="12:25" x14ac:dyDescent="0.35">
      <c r="L142" s="544"/>
      <c r="M142" s="544"/>
      <c r="N142" s="544"/>
      <c r="O142" s="544"/>
      <c r="P142" s="544"/>
      <c r="Q142" s="544"/>
      <c r="R142" s="544"/>
      <c r="S142" s="544">
        <v>140</v>
      </c>
      <c r="T142" s="544">
        <v>150</v>
      </c>
      <c r="U142" s="544"/>
      <c r="V142" s="544"/>
      <c r="W142" s="544"/>
      <c r="X142" s="544"/>
      <c r="Y142" s="185"/>
    </row>
    <row r="143" spans="12:25" x14ac:dyDescent="0.35">
      <c r="L143" s="544"/>
      <c r="M143" s="544"/>
      <c r="N143" s="544"/>
      <c r="O143" s="544"/>
      <c r="P143" s="544"/>
      <c r="Q143" s="544"/>
      <c r="R143" s="544"/>
      <c r="S143" s="544">
        <v>141</v>
      </c>
      <c r="T143" s="544">
        <v>150</v>
      </c>
      <c r="U143" s="544"/>
      <c r="V143" s="544"/>
      <c r="W143" s="544"/>
      <c r="X143" s="544"/>
      <c r="Y143" s="185"/>
    </row>
    <row r="144" spans="12:25" x14ac:dyDescent="0.35">
      <c r="L144" s="544"/>
      <c r="M144" s="544"/>
      <c r="N144" s="544"/>
      <c r="O144" s="544"/>
      <c r="P144" s="544"/>
      <c r="Q144" s="544"/>
      <c r="R144" s="544"/>
      <c r="S144" s="544">
        <v>142</v>
      </c>
      <c r="T144" s="544">
        <v>150</v>
      </c>
      <c r="U144" s="544"/>
      <c r="V144" s="544"/>
      <c r="W144" s="544"/>
      <c r="X144" s="544"/>
      <c r="Y144" s="185"/>
    </row>
    <row r="145" spans="12:25" x14ac:dyDescent="0.35">
      <c r="L145" s="544"/>
      <c r="M145" s="544"/>
      <c r="N145" s="544"/>
      <c r="O145" s="544"/>
      <c r="P145" s="544"/>
      <c r="Q145" s="544"/>
      <c r="R145" s="544"/>
      <c r="S145" s="544">
        <v>143</v>
      </c>
      <c r="T145" s="544">
        <v>150</v>
      </c>
      <c r="U145" s="544"/>
      <c r="V145" s="544"/>
      <c r="W145" s="544"/>
      <c r="X145" s="544"/>
      <c r="Y145" s="185"/>
    </row>
    <row r="146" spans="12:25" x14ac:dyDescent="0.35">
      <c r="L146" s="544"/>
      <c r="M146" s="544"/>
      <c r="N146" s="544"/>
      <c r="O146" s="544"/>
      <c r="P146" s="544"/>
      <c r="Q146" s="544"/>
      <c r="R146" s="544"/>
      <c r="S146" s="544">
        <v>144</v>
      </c>
      <c r="T146" s="544">
        <v>150</v>
      </c>
      <c r="U146" s="544"/>
      <c r="V146" s="544"/>
      <c r="W146" s="544"/>
      <c r="X146" s="544"/>
      <c r="Y146" s="185"/>
    </row>
    <row r="147" spans="12:25" x14ac:dyDescent="0.35">
      <c r="L147" s="544"/>
      <c r="M147" s="544"/>
      <c r="N147" s="544"/>
      <c r="O147" s="544"/>
      <c r="P147" s="544"/>
      <c r="Q147" s="544"/>
      <c r="R147" s="544"/>
      <c r="S147" s="544">
        <v>145</v>
      </c>
      <c r="T147" s="544">
        <v>150</v>
      </c>
      <c r="U147" s="544"/>
      <c r="V147" s="544"/>
      <c r="W147" s="544"/>
      <c r="X147" s="544"/>
      <c r="Y147" s="185"/>
    </row>
    <row r="148" spans="12:25" x14ac:dyDescent="0.35">
      <c r="L148" s="544"/>
      <c r="M148" s="544"/>
      <c r="N148" s="544"/>
      <c r="O148" s="544"/>
      <c r="P148" s="544"/>
      <c r="Q148" s="544"/>
      <c r="R148" s="544"/>
      <c r="S148" s="544">
        <v>146</v>
      </c>
      <c r="T148" s="544">
        <v>150</v>
      </c>
      <c r="U148" s="544"/>
      <c r="V148" s="544"/>
      <c r="W148" s="544"/>
      <c r="X148" s="544"/>
      <c r="Y148" s="185"/>
    </row>
    <row r="149" spans="12:25" x14ac:dyDescent="0.35">
      <c r="L149" s="544"/>
      <c r="M149" s="544"/>
      <c r="N149" s="544"/>
      <c r="O149" s="544"/>
      <c r="P149" s="544"/>
      <c r="Q149" s="544"/>
      <c r="R149" s="544"/>
      <c r="S149" s="544">
        <v>147</v>
      </c>
      <c r="T149" s="544">
        <v>150</v>
      </c>
      <c r="U149" s="544"/>
      <c r="V149" s="544"/>
      <c r="W149" s="544"/>
      <c r="X149" s="544"/>
      <c r="Y149" s="185"/>
    </row>
    <row r="150" spans="12:25" x14ac:dyDescent="0.35">
      <c r="L150" s="544"/>
      <c r="M150" s="544"/>
      <c r="N150" s="544"/>
      <c r="O150" s="544"/>
      <c r="P150" s="544"/>
      <c r="Q150" s="544"/>
      <c r="R150" s="544"/>
      <c r="S150" s="544">
        <v>148</v>
      </c>
      <c r="T150" s="544">
        <v>150</v>
      </c>
      <c r="U150" s="544"/>
      <c r="V150" s="544"/>
      <c r="W150" s="544"/>
      <c r="X150" s="544"/>
      <c r="Y150" s="185"/>
    </row>
    <row r="151" spans="12:25" x14ac:dyDescent="0.35">
      <c r="L151" s="544"/>
      <c r="M151" s="544"/>
      <c r="N151" s="544"/>
      <c r="O151" s="544"/>
      <c r="P151" s="544"/>
      <c r="Q151" s="544"/>
      <c r="R151" s="544"/>
      <c r="S151" s="544">
        <v>149</v>
      </c>
      <c r="T151" s="544">
        <v>150</v>
      </c>
      <c r="U151" s="544"/>
      <c r="V151" s="544"/>
      <c r="W151" s="544"/>
      <c r="X151" s="544"/>
      <c r="Y151" s="185"/>
    </row>
    <row r="152" spans="12:25" x14ac:dyDescent="0.35">
      <c r="L152" s="544"/>
      <c r="M152" s="544"/>
      <c r="N152" s="544"/>
      <c r="O152" s="544"/>
      <c r="P152" s="544"/>
      <c r="Q152" s="544"/>
      <c r="R152" s="544"/>
      <c r="S152" s="544">
        <v>150</v>
      </c>
      <c r="T152" s="544">
        <v>150</v>
      </c>
      <c r="U152" s="544">
        <v>150</v>
      </c>
      <c r="V152" s="544"/>
      <c r="W152" s="544"/>
      <c r="X152" s="544"/>
      <c r="Y152" s="185"/>
    </row>
    <row r="153" spans="12:25" x14ac:dyDescent="0.35">
      <c r="L153" s="544"/>
      <c r="M153" s="544"/>
      <c r="N153" s="544"/>
      <c r="O153" s="544"/>
      <c r="P153" s="544"/>
      <c r="Q153" s="544"/>
      <c r="R153" s="544"/>
      <c r="S153" s="544">
        <v>151</v>
      </c>
      <c r="T153" s="544">
        <v>150</v>
      </c>
      <c r="U153" s="544"/>
      <c r="V153" s="544"/>
      <c r="W153" s="544"/>
      <c r="X153" s="544"/>
      <c r="Y153" s="185"/>
    </row>
    <row r="154" spans="12:25" x14ac:dyDescent="0.35">
      <c r="L154" s="544"/>
      <c r="M154" s="544"/>
      <c r="N154" s="544"/>
      <c r="O154" s="544"/>
      <c r="P154" s="544"/>
      <c r="Q154" s="544"/>
      <c r="R154" s="544"/>
      <c r="S154" s="544">
        <v>152</v>
      </c>
      <c r="T154" s="544">
        <v>150</v>
      </c>
      <c r="U154" s="544"/>
      <c r="V154" s="544"/>
      <c r="W154" s="544"/>
      <c r="X154" s="544"/>
      <c r="Y154" s="185"/>
    </row>
    <row r="155" spans="12:25" x14ac:dyDescent="0.35">
      <c r="L155" s="544"/>
      <c r="M155" s="544"/>
      <c r="N155" s="544"/>
      <c r="O155" s="544"/>
      <c r="P155" s="544"/>
      <c r="Q155" s="544"/>
      <c r="R155" s="544"/>
      <c r="S155" s="544">
        <v>153</v>
      </c>
      <c r="T155" s="544">
        <v>150</v>
      </c>
      <c r="U155" s="544"/>
      <c r="V155" s="544"/>
      <c r="W155" s="544"/>
      <c r="X155" s="544"/>
      <c r="Y155" s="185"/>
    </row>
    <row r="156" spans="12:25" x14ac:dyDescent="0.35">
      <c r="L156" s="544"/>
      <c r="M156" s="544"/>
      <c r="N156" s="544"/>
      <c r="O156" s="544"/>
      <c r="P156" s="544"/>
      <c r="Q156" s="544"/>
      <c r="R156" s="544"/>
      <c r="S156" s="544">
        <v>154</v>
      </c>
      <c r="T156" s="544">
        <v>150</v>
      </c>
      <c r="U156" s="544"/>
      <c r="V156" s="544"/>
      <c r="W156" s="544"/>
      <c r="X156" s="544"/>
      <c r="Y156" s="185"/>
    </row>
    <row r="157" spans="12:25" x14ac:dyDescent="0.35">
      <c r="L157" s="544"/>
      <c r="M157" s="544"/>
      <c r="N157" s="544"/>
      <c r="O157" s="544"/>
      <c r="P157" s="544"/>
      <c r="Q157" s="544"/>
      <c r="R157" s="544"/>
      <c r="S157" s="544">
        <v>155</v>
      </c>
      <c r="T157" s="544">
        <v>150</v>
      </c>
      <c r="U157" s="544"/>
      <c r="V157" s="544"/>
      <c r="W157" s="544"/>
      <c r="X157" s="544"/>
      <c r="Y157" s="185"/>
    </row>
    <row r="158" spans="12:25" x14ac:dyDescent="0.35">
      <c r="L158" s="544"/>
      <c r="M158" s="544"/>
      <c r="N158" s="544"/>
      <c r="O158" s="544"/>
      <c r="P158" s="544"/>
      <c r="Q158" s="544"/>
      <c r="R158" s="544"/>
      <c r="S158" s="544">
        <v>156</v>
      </c>
      <c r="T158" s="544">
        <v>150</v>
      </c>
      <c r="U158" s="544"/>
      <c r="V158" s="544"/>
      <c r="W158" s="544"/>
      <c r="X158" s="544"/>
      <c r="Y158" s="185"/>
    </row>
    <row r="159" spans="12:25" x14ac:dyDescent="0.35">
      <c r="L159" s="544"/>
      <c r="M159" s="544"/>
      <c r="N159" s="544"/>
      <c r="O159" s="544"/>
      <c r="P159" s="544"/>
      <c r="Q159" s="544"/>
      <c r="R159" s="544"/>
      <c r="S159" s="544">
        <v>157</v>
      </c>
      <c r="T159" s="544">
        <v>150</v>
      </c>
      <c r="U159" s="544"/>
      <c r="V159" s="544"/>
      <c r="W159" s="544"/>
      <c r="X159" s="544"/>
      <c r="Y159" s="185"/>
    </row>
    <row r="160" spans="12:25" x14ac:dyDescent="0.35">
      <c r="L160" s="544"/>
      <c r="M160" s="544"/>
      <c r="N160" s="544"/>
      <c r="O160" s="544"/>
      <c r="P160" s="544"/>
      <c r="Q160" s="544"/>
      <c r="R160" s="544"/>
      <c r="S160" s="544">
        <v>158</v>
      </c>
      <c r="T160" s="544">
        <v>150</v>
      </c>
      <c r="U160" s="544"/>
      <c r="V160" s="544"/>
      <c r="W160" s="544"/>
      <c r="X160" s="544"/>
      <c r="Y160" s="185"/>
    </row>
    <row r="161" spans="12:25" x14ac:dyDescent="0.35">
      <c r="L161" s="544"/>
      <c r="M161" s="544"/>
      <c r="N161" s="544"/>
      <c r="O161" s="544"/>
      <c r="P161" s="544"/>
      <c r="Q161" s="544"/>
      <c r="R161" s="544"/>
      <c r="S161" s="544">
        <v>159</v>
      </c>
      <c r="T161" s="544">
        <v>150</v>
      </c>
      <c r="U161" s="544"/>
      <c r="V161" s="544"/>
      <c r="W161" s="544"/>
      <c r="X161" s="544"/>
      <c r="Y161" s="185"/>
    </row>
    <row r="162" spans="12:25" x14ac:dyDescent="0.35">
      <c r="L162" s="544"/>
      <c r="M162" s="544"/>
      <c r="N162" s="544"/>
      <c r="O162" s="544"/>
      <c r="P162" s="544"/>
      <c r="Q162" s="544"/>
      <c r="R162" s="544"/>
      <c r="S162" s="544">
        <v>160</v>
      </c>
      <c r="T162" s="544">
        <v>150</v>
      </c>
      <c r="U162" s="544"/>
      <c r="V162" s="544"/>
      <c r="W162" s="544"/>
      <c r="X162" s="544"/>
      <c r="Y162" s="185"/>
    </row>
    <row r="163" spans="12:25" x14ac:dyDescent="0.35">
      <c r="L163" s="544"/>
      <c r="M163" s="544"/>
      <c r="N163" s="544"/>
      <c r="O163" s="544"/>
      <c r="P163" s="544"/>
      <c r="Q163" s="544"/>
      <c r="R163" s="544"/>
      <c r="S163" s="544">
        <v>161</v>
      </c>
      <c r="T163" s="544">
        <v>150</v>
      </c>
      <c r="U163" s="544"/>
      <c r="V163" s="544"/>
      <c r="W163" s="544"/>
      <c r="X163" s="544"/>
      <c r="Y163" s="185"/>
    </row>
    <row r="164" spans="12:25" x14ac:dyDescent="0.35">
      <c r="L164" s="544"/>
      <c r="M164" s="544"/>
      <c r="N164" s="544"/>
      <c r="O164" s="544"/>
      <c r="P164" s="544"/>
      <c r="Q164" s="544"/>
      <c r="R164" s="544"/>
      <c r="S164" s="544">
        <v>162</v>
      </c>
      <c r="T164" s="544">
        <v>150</v>
      </c>
      <c r="U164" s="544"/>
      <c r="V164" s="544"/>
      <c r="W164" s="544"/>
      <c r="X164" s="544"/>
      <c r="Y164" s="185"/>
    </row>
    <row r="165" spans="12:25" x14ac:dyDescent="0.35">
      <c r="L165" s="544"/>
      <c r="M165" s="544"/>
      <c r="N165" s="544"/>
      <c r="O165" s="544"/>
      <c r="P165" s="544"/>
      <c r="Q165" s="544"/>
      <c r="R165" s="544"/>
      <c r="S165" s="544">
        <v>163</v>
      </c>
      <c r="T165" s="544">
        <v>150</v>
      </c>
      <c r="U165" s="544"/>
      <c r="V165" s="544"/>
      <c r="W165" s="544"/>
      <c r="X165" s="544"/>
      <c r="Y165" s="185"/>
    </row>
    <row r="166" spans="12:25" x14ac:dyDescent="0.35">
      <c r="L166" s="544"/>
      <c r="M166" s="544"/>
      <c r="N166" s="544"/>
      <c r="O166" s="544"/>
      <c r="P166" s="544"/>
      <c r="Q166" s="544"/>
      <c r="R166" s="544"/>
      <c r="S166" s="544">
        <v>164</v>
      </c>
      <c r="T166" s="544">
        <v>150</v>
      </c>
      <c r="U166" s="544"/>
      <c r="V166" s="544"/>
      <c r="W166" s="544"/>
      <c r="X166" s="544"/>
      <c r="Y166" s="185"/>
    </row>
    <row r="167" spans="12:25" x14ac:dyDescent="0.35">
      <c r="L167" s="544"/>
      <c r="M167" s="544"/>
      <c r="N167" s="544"/>
      <c r="O167" s="544"/>
      <c r="P167" s="544"/>
      <c r="Q167" s="544"/>
      <c r="R167" s="544"/>
      <c r="S167" s="544">
        <v>165</v>
      </c>
      <c r="T167" s="544">
        <v>150</v>
      </c>
      <c r="U167" s="544"/>
      <c r="V167" s="544"/>
      <c r="W167" s="544"/>
      <c r="X167" s="544"/>
      <c r="Y167" s="185"/>
    </row>
    <row r="168" spans="12:25" x14ac:dyDescent="0.35">
      <c r="L168" s="544"/>
      <c r="M168" s="544"/>
      <c r="N168" s="544"/>
      <c r="O168" s="544"/>
      <c r="P168" s="544"/>
      <c r="Q168" s="544"/>
      <c r="R168" s="544"/>
      <c r="S168" s="544">
        <v>166</v>
      </c>
      <c r="T168" s="544">
        <v>150</v>
      </c>
      <c r="U168" s="544"/>
      <c r="V168" s="544"/>
      <c r="W168" s="544"/>
      <c r="X168" s="544"/>
      <c r="Y168" s="185"/>
    </row>
    <row r="169" spans="12:25" x14ac:dyDescent="0.35">
      <c r="L169" s="544"/>
      <c r="M169" s="544"/>
      <c r="N169" s="544"/>
      <c r="O169" s="544"/>
      <c r="P169" s="544"/>
      <c r="Q169" s="544"/>
      <c r="R169" s="544"/>
      <c r="S169" s="544">
        <v>167</v>
      </c>
      <c r="T169" s="544">
        <v>150</v>
      </c>
      <c r="U169" s="544"/>
      <c r="V169" s="544"/>
      <c r="W169" s="544"/>
      <c r="X169" s="544"/>
      <c r="Y169" s="185"/>
    </row>
    <row r="170" spans="12:25" x14ac:dyDescent="0.35">
      <c r="L170" s="544"/>
      <c r="M170" s="544"/>
      <c r="N170" s="544"/>
      <c r="O170" s="544"/>
      <c r="P170" s="544"/>
      <c r="Q170" s="544"/>
      <c r="R170" s="544"/>
      <c r="S170" s="544">
        <v>168</v>
      </c>
      <c r="T170" s="544">
        <v>150</v>
      </c>
      <c r="U170" s="544"/>
      <c r="V170" s="544"/>
      <c r="W170" s="544"/>
      <c r="X170" s="544"/>
      <c r="Y170" s="185"/>
    </row>
    <row r="171" spans="12:25" x14ac:dyDescent="0.35">
      <c r="L171" s="544"/>
      <c r="M171" s="544"/>
      <c r="N171" s="544"/>
      <c r="O171" s="544"/>
      <c r="P171" s="544"/>
      <c r="Q171" s="544"/>
      <c r="R171" s="544"/>
      <c r="S171" s="544">
        <v>169</v>
      </c>
      <c r="T171" s="544">
        <v>150</v>
      </c>
      <c r="U171" s="544"/>
      <c r="V171" s="544"/>
      <c r="W171" s="544"/>
      <c r="X171" s="544"/>
      <c r="Y171" s="185"/>
    </row>
    <row r="172" spans="12:25" x14ac:dyDescent="0.35">
      <c r="L172" s="544"/>
      <c r="M172" s="544"/>
      <c r="N172" s="544"/>
      <c r="O172" s="544"/>
      <c r="P172" s="544"/>
      <c r="Q172" s="544"/>
      <c r="R172" s="544"/>
      <c r="S172" s="544">
        <v>170</v>
      </c>
      <c r="T172" s="544">
        <v>150</v>
      </c>
      <c r="U172" s="544"/>
      <c r="V172" s="544"/>
      <c r="W172" s="544"/>
      <c r="X172" s="544"/>
      <c r="Y172" s="185"/>
    </row>
    <row r="173" spans="12:25" x14ac:dyDescent="0.35">
      <c r="L173" s="544"/>
      <c r="M173" s="544"/>
      <c r="N173" s="544"/>
      <c r="O173" s="544"/>
      <c r="P173" s="544"/>
      <c r="Q173" s="544"/>
      <c r="R173" s="544"/>
      <c r="S173" s="544">
        <v>171</v>
      </c>
      <c r="T173" s="544">
        <v>150</v>
      </c>
      <c r="U173" s="544"/>
      <c r="V173" s="544"/>
      <c r="W173" s="544"/>
      <c r="X173" s="544"/>
      <c r="Y173" s="185"/>
    </row>
    <row r="174" spans="12:25" x14ac:dyDescent="0.35">
      <c r="L174" s="544"/>
      <c r="M174" s="544"/>
      <c r="N174" s="544"/>
      <c r="O174" s="544"/>
      <c r="P174" s="544"/>
      <c r="Q174" s="544"/>
      <c r="R174" s="544"/>
      <c r="S174" s="544">
        <v>172</v>
      </c>
      <c r="T174" s="544">
        <v>150</v>
      </c>
      <c r="U174" s="544"/>
      <c r="V174" s="544"/>
      <c r="W174" s="544"/>
      <c r="X174" s="544"/>
      <c r="Y174" s="185"/>
    </row>
    <row r="175" spans="12:25" x14ac:dyDescent="0.35">
      <c r="L175" s="544"/>
      <c r="M175" s="544"/>
      <c r="N175" s="544"/>
      <c r="O175" s="544"/>
      <c r="P175" s="544"/>
      <c r="Q175" s="544"/>
      <c r="R175" s="544"/>
      <c r="S175" s="544">
        <v>173</v>
      </c>
      <c r="T175" s="544">
        <v>150</v>
      </c>
      <c r="U175" s="544"/>
      <c r="V175" s="544"/>
      <c r="W175" s="544"/>
      <c r="X175" s="544"/>
      <c r="Y175" s="185"/>
    </row>
    <row r="176" spans="12:25" x14ac:dyDescent="0.35">
      <c r="L176" s="544"/>
      <c r="M176" s="544"/>
      <c r="N176" s="544"/>
      <c r="O176" s="544"/>
      <c r="P176" s="544"/>
      <c r="Q176" s="544"/>
      <c r="R176" s="544"/>
      <c r="S176" s="544">
        <v>174</v>
      </c>
      <c r="T176" s="544">
        <v>150</v>
      </c>
      <c r="U176" s="544"/>
      <c r="V176" s="544"/>
      <c r="W176" s="544"/>
      <c r="X176" s="544"/>
      <c r="Y176" s="185"/>
    </row>
    <row r="177" spans="12:25" x14ac:dyDescent="0.35">
      <c r="L177" s="544"/>
      <c r="M177" s="544"/>
      <c r="N177" s="544"/>
      <c r="O177" s="544"/>
      <c r="P177" s="544"/>
      <c r="Q177" s="544"/>
      <c r="R177" s="544"/>
      <c r="S177" s="544">
        <v>175</v>
      </c>
      <c r="T177" s="544">
        <v>150</v>
      </c>
      <c r="U177" s="544"/>
      <c r="V177" s="544"/>
      <c r="W177" s="544"/>
      <c r="X177" s="544"/>
      <c r="Y177" s="185"/>
    </row>
    <row r="178" spans="12:25" x14ac:dyDescent="0.35">
      <c r="L178" s="544"/>
      <c r="M178" s="544"/>
      <c r="N178" s="544"/>
      <c r="O178" s="544"/>
      <c r="P178" s="544"/>
      <c r="Q178" s="544"/>
      <c r="R178" s="544"/>
      <c r="S178" s="544">
        <v>176</v>
      </c>
      <c r="T178" s="544">
        <v>150</v>
      </c>
      <c r="U178" s="544"/>
      <c r="V178" s="544"/>
      <c r="W178" s="544"/>
      <c r="X178" s="544"/>
      <c r="Y178" s="185"/>
    </row>
    <row r="179" spans="12:25" x14ac:dyDescent="0.35">
      <c r="L179" s="544"/>
      <c r="M179" s="544"/>
      <c r="N179" s="544"/>
      <c r="O179" s="544"/>
      <c r="P179" s="544"/>
      <c r="Q179" s="544"/>
      <c r="R179" s="544"/>
      <c r="S179" s="544">
        <v>177</v>
      </c>
      <c r="T179" s="544">
        <v>150</v>
      </c>
      <c r="U179" s="544"/>
      <c r="V179" s="544"/>
      <c r="W179" s="544"/>
      <c r="X179" s="544"/>
      <c r="Y179" s="185"/>
    </row>
    <row r="180" spans="12:25" x14ac:dyDescent="0.35">
      <c r="L180" s="544"/>
      <c r="M180" s="544"/>
      <c r="N180" s="544"/>
      <c r="O180" s="544"/>
      <c r="P180" s="544"/>
      <c r="Q180" s="544"/>
      <c r="R180" s="544"/>
      <c r="S180" s="544">
        <v>178</v>
      </c>
      <c r="T180" s="544">
        <v>150</v>
      </c>
      <c r="U180" s="544"/>
      <c r="V180" s="544"/>
      <c r="W180" s="544"/>
      <c r="X180" s="544"/>
      <c r="Y180" s="185"/>
    </row>
    <row r="181" spans="12:25" x14ac:dyDescent="0.35">
      <c r="L181" s="544"/>
      <c r="M181" s="544"/>
      <c r="N181" s="544"/>
      <c r="O181" s="544"/>
      <c r="P181" s="544"/>
      <c r="Q181" s="544"/>
      <c r="R181" s="544"/>
      <c r="S181" s="544">
        <v>179</v>
      </c>
      <c r="T181" s="544">
        <v>150</v>
      </c>
      <c r="U181" s="544"/>
      <c r="V181" s="544"/>
      <c r="W181" s="544"/>
      <c r="X181" s="544"/>
      <c r="Y181" s="185"/>
    </row>
    <row r="182" spans="12:25" x14ac:dyDescent="0.35">
      <c r="L182" s="544"/>
      <c r="M182" s="544"/>
      <c r="N182" s="544"/>
      <c r="O182" s="544"/>
      <c r="P182" s="544"/>
      <c r="Q182" s="544"/>
      <c r="R182" s="544"/>
      <c r="S182" s="544">
        <v>180</v>
      </c>
      <c r="T182" s="544">
        <v>150</v>
      </c>
      <c r="U182" s="544"/>
      <c r="V182" s="544"/>
      <c r="W182" s="544"/>
      <c r="X182" s="544"/>
      <c r="Y182" s="185"/>
    </row>
    <row r="183" spans="12:25" x14ac:dyDescent="0.35">
      <c r="L183" s="544"/>
      <c r="M183" s="544"/>
      <c r="N183" s="544"/>
      <c r="O183" s="544"/>
      <c r="P183" s="544"/>
      <c r="Q183" s="544"/>
      <c r="R183" s="544"/>
      <c r="S183" s="544">
        <v>181</v>
      </c>
      <c r="T183" s="544">
        <v>150</v>
      </c>
      <c r="U183" s="544"/>
      <c r="V183" s="544"/>
      <c r="W183" s="544"/>
      <c r="X183" s="544"/>
      <c r="Y183" s="185"/>
    </row>
    <row r="184" spans="12:25" x14ac:dyDescent="0.35">
      <c r="L184" s="544"/>
      <c r="M184" s="544"/>
      <c r="N184" s="544"/>
      <c r="O184" s="544"/>
      <c r="P184" s="544"/>
      <c r="Q184" s="544"/>
      <c r="R184" s="544"/>
      <c r="S184" s="544">
        <v>182</v>
      </c>
      <c r="T184" s="544">
        <v>150</v>
      </c>
      <c r="U184" s="544"/>
      <c r="V184" s="544"/>
      <c r="W184" s="544"/>
      <c r="X184" s="544"/>
      <c r="Y184" s="185"/>
    </row>
    <row r="185" spans="12:25" x14ac:dyDescent="0.35">
      <c r="L185" s="544"/>
      <c r="M185" s="544"/>
      <c r="N185" s="544"/>
      <c r="O185" s="544"/>
      <c r="P185" s="544"/>
      <c r="Q185" s="544"/>
      <c r="R185" s="544"/>
      <c r="S185" s="544">
        <v>183</v>
      </c>
      <c r="T185" s="544">
        <v>150</v>
      </c>
      <c r="U185" s="544"/>
      <c r="V185" s="544"/>
      <c r="W185" s="544"/>
      <c r="X185" s="544"/>
      <c r="Y185" s="185"/>
    </row>
    <row r="186" spans="12:25" x14ac:dyDescent="0.35">
      <c r="L186" s="544"/>
      <c r="M186" s="544"/>
      <c r="N186" s="544"/>
      <c r="O186" s="544"/>
      <c r="P186" s="544"/>
      <c r="Q186" s="544"/>
      <c r="R186" s="544"/>
      <c r="S186" s="544">
        <v>184</v>
      </c>
      <c r="T186" s="544">
        <v>150</v>
      </c>
      <c r="U186" s="544"/>
      <c r="V186" s="544"/>
      <c r="W186" s="544"/>
      <c r="X186" s="544"/>
      <c r="Y186" s="185"/>
    </row>
    <row r="187" spans="12:25" x14ac:dyDescent="0.35">
      <c r="L187" s="544"/>
      <c r="M187" s="544"/>
      <c r="N187" s="544"/>
      <c r="O187" s="544"/>
      <c r="P187" s="544"/>
      <c r="Q187" s="544"/>
      <c r="R187" s="544"/>
      <c r="S187" s="544">
        <v>185</v>
      </c>
      <c r="T187" s="544">
        <v>150</v>
      </c>
      <c r="U187" s="544"/>
      <c r="V187" s="544"/>
      <c r="W187" s="544"/>
      <c r="X187" s="544"/>
      <c r="Y187" s="185"/>
    </row>
    <row r="188" spans="12:25" x14ac:dyDescent="0.35">
      <c r="L188" s="544"/>
      <c r="M188" s="544"/>
      <c r="N188" s="544"/>
      <c r="O188" s="544"/>
      <c r="P188" s="544"/>
      <c r="Q188" s="544"/>
      <c r="R188" s="544"/>
      <c r="S188" s="544">
        <v>186</v>
      </c>
      <c r="T188" s="544">
        <v>150</v>
      </c>
      <c r="U188" s="544"/>
      <c r="V188" s="544"/>
      <c r="W188" s="544"/>
      <c r="X188" s="544"/>
      <c r="Y188" s="185"/>
    </row>
    <row r="189" spans="12:25" x14ac:dyDescent="0.35">
      <c r="L189" s="544"/>
      <c r="M189" s="544"/>
      <c r="N189" s="544"/>
      <c r="O189" s="544"/>
      <c r="P189" s="544"/>
      <c r="Q189" s="544"/>
      <c r="R189" s="544"/>
      <c r="S189" s="544">
        <v>187</v>
      </c>
      <c r="T189" s="544">
        <v>150</v>
      </c>
      <c r="U189" s="544"/>
      <c r="V189" s="544"/>
      <c r="W189" s="544"/>
      <c r="X189" s="544"/>
      <c r="Y189" s="185"/>
    </row>
    <row r="190" spans="12:25" x14ac:dyDescent="0.35">
      <c r="L190" s="544"/>
      <c r="M190" s="544"/>
      <c r="N190" s="544"/>
      <c r="O190" s="544"/>
      <c r="P190" s="544"/>
      <c r="Q190" s="544"/>
      <c r="R190" s="544"/>
      <c r="S190" s="544">
        <v>188</v>
      </c>
      <c r="T190" s="544">
        <v>150</v>
      </c>
      <c r="U190" s="544"/>
      <c r="V190" s="544"/>
      <c r="W190" s="544"/>
      <c r="X190" s="544"/>
      <c r="Y190" s="185"/>
    </row>
    <row r="191" spans="12:25" x14ac:dyDescent="0.35">
      <c r="L191" s="544"/>
      <c r="M191" s="544"/>
      <c r="N191" s="544"/>
      <c r="O191" s="544"/>
      <c r="P191" s="544"/>
      <c r="Q191" s="544"/>
      <c r="R191" s="544"/>
      <c r="S191" s="544">
        <v>189</v>
      </c>
      <c r="T191" s="544">
        <v>150</v>
      </c>
      <c r="U191" s="544"/>
      <c r="V191" s="544"/>
      <c r="W191" s="544"/>
      <c r="X191" s="544"/>
      <c r="Y191" s="185"/>
    </row>
    <row r="192" spans="12:25" x14ac:dyDescent="0.35">
      <c r="L192" s="544"/>
      <c r="M192" s="544"/>
      <c r="N192" s="544"/>
      <c r="O192" s="544"/>
      <c r="P192" s="544"/>
      <c r="Q192" s="544"/>
      <c r="R192" s="544"/>
      <c r="S192" s="544">
        <v>190</v>
      </c>
      <c r="T192" s="544">
        <v>150</v>
      </c>
      <c r="U192" s="544"/>
      <c r="V192" s="544"/>
      <c r="W192" s="544"/>
      <c r="X192" s="544"/>
      <c r="Y192" s="185"/>
    </row>
    <row r="193" spans="12:25" x14ac:dyDescent="0.35">
      <c r="L193" s="544"/>
      <c r="M193" s="544"/>
      <c r="N193" s="544"/>
      <c r="O193" s="544"/>
      <c r="P193" s="544"/>
      <c r="Q193" s="544"/>
      <c r="R193" s="544"/>
      <c r="S193" s="544">
        <v>191</v>
      </c>
      <c r="T193" s="544">
        <v>150</v>
      </c>
      <c r="U193" s="544"/>
      <c r="V193" s="544"/>
      <c r="W193" s="544"/>
      <c r="X193" s="544"/>
      <c r="Y193" s="185"/>
    </row>
    <row r="194" spans="12:25" x14ac:dyDescent="0.35">
      <c r="L194" s="544"/>
      <c r="M194" s="544"/>
      <c r="N194" s="544"/>
      <c r="O194" s="544"/>
      <c r="P194" s="544"/>
      <c r="Q194" s="544"/>
      <c r="R194" s="544"/>
      <c r="S194" s="544">
        <v>192</v>
      </c>
      <c r="T194" s="544">
        <v>150</v>
      </c>
      <c r="U194" s="544"/>
      <c r="V194" s="544"/>
      <c r="W194" s="544"/>
      <c r="X194" s="544"/>
      <c r="Y194" s="185"/>
    </row>
    <row r="195" spans="12:25" x14ac:dyDescent="0.35">
      <c r="L195" s="544"/>
      <c r="M195" s="544"/>
      <c r="N195" s="544"/>
      <c r="O195" s="544"/>
      <c r="P195" s="544"/>
      <c r="Q195" s="544"/>
      <c r="R195" s="544"/>
      <c r="S195" s="544">
        <v>193</v>
      </c>
      <c r="T195" s="544">
        <v>150</v>
      </c>
      <c r="U195" s="544"/>
      <c r="V195" s="544"/>
      <c r="W195" s="544"/>
      <c r="X195" s="544"/>
      <c r="Y195" s="185"/>
    </row>
    <row r="196" spans="12:25" x14ac:dyDescent="0.35">
      <c r="L196" s="544"/>
      <c r="M196" s="544"/>
      <c r="N196" s="544"/>
      <c r="O196" s="544"/>
      <c r="P196" s="544"/>
      <c r="Q196" s="544"/>
      <c r="R196" s="544"/>
      <c r="S196" s="544">
        <v>194</v>
      </c>
      <c r="T196" s="544">
        <v>150</v>
      </c>
      <c r="U196" s="544"/>
      <c r="V196" s="544"/>
      <c r="W196" s="544"/>
      <c r="X196" s="544"/>
      <c r="Y196" s="185"/>
    </row>
    <row r="197" spans="12:25" x14ac:dyDescent="0.35">
      <c r="L197" s="544"/>
      <c r="M197" s="544"/>
      <c r="N197" s="544"/>
      <c r="O197" s="544"/>
      <c r="P197" s="544"/>
      <c r="Q197" s="544"/>
      <c r="R197" s="544"/>
      <c r="S197" s="544">
        <v>195</v>
      </c>
      <c r="T197" s="544">
        <v>150</v>
      </c>
      <c r="U197" s="544"/>
      <c r="V197" s="544"/>
      <c r="W197" s="544"/>
      <c r="X197" s="544"/>
      <c r="Y197" s="185"/>
    </row>
    <row r="198" spans="12:25" x14ac:dyDescent="0.35">
      <c r="L198" s="544"/>
      <c r="M198" s="544"/>
      <c r="N198" s="544"/>
      <c r="O198" s="544"/>
      <c r="P198" s="544"/>
      <c r="Q198" s="544"/>
      <c r="R198" s="544"/>
      <c r="S198" s="544">
        <v>196</v>
      </c>
      <c r="T198" s="544">
        <v>150</v>
      </c>
      <c r="U198" s="544"/>
      <c r="V198" s="544"/>
      <c r="W198" s="544"/>
      <c r="X198" s="544"/>
      <c r="Y198" s="185"/>
    </row>
    <row r="199" spans="12:25" x14ac:dyDescent="0.35">
      <c r="L199" s="544"/>
      <c r="M199" s="544"/>
      <c r="N199" s="544"/>
      <c r="O199" s="544"/>
      <c r="P199" s="544"/>
      <c r="Q199" s="544"/>
      <c r="R199" s="544"/>
      <c r="S199" s="544">
        <v>197</v>
      </c>
      <c r="T199" s="544">
        <v>150</v>
      </c>
      <c r="U199" s="544"/>
      <c r="V199" s="544"/>
      <c r="W199" s="544"/>
      <c r="X199" s="544"/>
      <c r="Y199" s="185"/>
    </row>
    <row r="200" spans="12:25" x14ac:dyDescent="0.35">
      <c r="L200" s="544"/>
      <c r="M200" s="544"/>
      <c r="N200" s="544"/>
      <c r="O200" s="544"/>
      <c r="P200" s="544"/>
      <c r="Q200" s="544"/>
      <c r="R200" s="544"/>
      <c r="S200" s="544">
        <v>198</v>
      </c>
      <c r="T200" s="544">
        <v>150</v>
      </c>
      <c r="U200" s="544"/>
      <c r="V200" s="544"/>
      <c r="W200" s="544"/>
      <c r="X200" s="544"/>
      <c r="Y200" s="185"/>
    </row>
    <row r="201" spans="12:25" x14ac:dyDescent="0.35">
      <c r="L201" s="544"/>
      <c r="M201" s="544"/>
      <c r="N201" s="544"/>
      <c r="O201" s="544"/>
      <c r="P201" s="544"/>
      <c r="Q201" s="544"/>
      <c r="R201" s="544"/>
      <c r="S201" s="544">
        <v>199</v>
      </c>
      <c r="T201" s="544">
        <v>150</v>
      </c>
      <c r="U201" s="544"/>
      <c r="V201" s="544"/>
      <c r="W201" s="544"/>
      <c r="X201" s="544"/>
      <c r="Y201" s="185"/>
    </row>
    <row r="202" spans="12:25" x14ac:dyDescent="0.35">
      <c r="L202" s="544"/>
      <c r="M202" s="544"/>
      <c r="N202" s="544"/>
      <c r="O202" s="544"/>
      <c r="P202" s="544"/>
      <c r="Q202" s="544"/>
      <c r="R202" s="544"/>
      <c r="S202" s="544">
        <v>200</v>
      </c>
      <c r="T202" s="544">
        <v>150</v>
      </c>
      <c r="U202" s="544">
        <v>200</v>
      </c>
      <c r="V202" s="544"/>
      <c r="W202" s="544"/>
      <c r="X202" s="544"/>
      <c r="Y202" s="185"/>
    </row>
    <row r="203" spans="12:25" x14ac:dyDescent="0.35">
      <c r="L203" s="544"/>
      <c r="M203" s="544"/>
      <c r="N203" s="544"/>
      <c r="O203" s="544"/>
      <c r="P203" s="544"/>
      <c r="Q203" s="544"/>
      <c r="R203" s="544"/>
      <c r="S203" s="544">
        <v>201</v>
      </c>
      <c r="T203" s="544">
        <v>150</v>
      </c>
      <c r="U203" s="544"/>
      <c r="V203" s="544"/>
      <c r="W203" s="544"/>
      <c r="X203" s="544"/>
      <c r="Y203" s="185"/>
    </row>
    <row r="204" spans="12:25" x14ac:dyDescent="0.35">
      <c r="L204" s="544"/>
      <c r="M204" s="544"/>
      <c r="N204" s="544"/>
      <c r="O204" s="544"/>
      <c r="P204" s="544"/>
      <c r="Q204" s="544"/>
      <c r="R204" s="544"/>
      <c r="S204" s="544">
        <v>202</v>
      </c>
      <c r="T204" s="544">
        <v>150</v>
      </c>
      <c r="U204" s="544"/>
      <c r="V204" s="544"/>
      <c r="W204" s="544"/>
      <c r="X204" s="544"/>
      <c r="Y204" s="185"/>
    </row>
    <row r="205" spans="12:25" x14ac:dyDescent="0.35">
      <c r="L205" s="544"/>
      <c r="M205" s="544"/>
      <c r="N205" s="544"/>
      <c r="O205" s="544"/>
      <c r="P205" s="544"/>
      <c r="Q205" s="544"/>
      <c r="R205" s="544"/>
      <c r="S205" s="544">
        <v>203</v>
      </c>
      <c r="T205" s="544">
        <v>150</v>
      </c>
      <c r="U205" s="544"/>
      <c r="V205" s="544"/>
      <c r="W205" s="544"/>
      <c r="X205" s="544"/>
      <c r="Y205" s="185"/>
    </row>
    <row r="206" spans="12:25" x14ac:dyDescent="0.35">
      <c r="L206" s="544"/>
      <c r="M206" s="544"/>
      <c r="N206" s="544"/>
      <c r="O206" s="544"/>
      <c r="P206" s="544"/>
      <c r="Q206" s="544"/>
      <c r="R206" s="544"/>
      <c r="S206" s="544">
        <v>204</v>
      </c>
      <c r="T206" s="544">
        <v>150</v>
      </c>
      <c r="U206" s="544"/>
      <c r="V206" s="544"/>
      <c r="W206" s="544"/>
      <c r="X206" s="544"/>
      <c r="Y206" s="185"/>
    </row>
    <row r="207" spans="12:25" x14ac:dyDescent="0.35">
      <c r="L207" s="544"/>
      <c r="M207" s="544"/>
      <c r="N207" s="544"/>
      <c r="O207" s="544"/>
      <c r="P207" s="544"/>
      <c r="Q207" s="544"/>
      <c r="R207" s="544"/>
      <c r="S207" s="544">
        <v>205</v>
      </c>
      <c r="T207" s="544">
        <v>150</v>
      </c>
      <c r="U207" s="544"/>
      <c r="V207" s="544"/>
      <c r="W207" s="544"/>
      <c r="X207" s="544"/>
      <c r="Y207" s="185"/>
    </row>
    <row r="208" spans="12:25" x14ac:dyDescent="0.35">
      <c r="L208" s="544"/>
      <c r="M208" s="544"/>
      <c r="N208" s="544"/>
      <c r="O208" s="544"/>
      <c r="P208" s="544"/>
      <c r="Q208" s="544"/>
      <c r="R208" s="544"/>
      <c r="S208" s="544">
        <v>206</v>
      </c>
      <c r="T208" s="544">
        <v>150</v>
      </c>
      <c r="U208" s="544"/>
      <c r="V208" s="544"/>
      <c r="W208" s="544"/>
      <c r="X208" s="544"/>
      <c r="Y208" s="185"/>
    </row>
    <row r="209" spans="12:25" x14ac:dyDescent="0.35">
      <c r="L209" s="544"/>
      <c r="M209" s="544"/>
      <c r="N209" s="544"/>
      <c r="O209" s="544"/>
      <c r="P209" s="544"/>
      <c r="Q209" s="544"/>
      <c r="R209" s="544"/>
      <c r="S209" s="544">
        <v>207</v>
      </c>
      <c r="T209" s="544">
        <v>150</v>
      </c>
      <c r="U209" s="544"/>
      <c r="V209" s="544"/>
      <c r="W209" s="544"/>
      <c r="X209" s="544"/>
      <c r="Y209" s="185"/>
    </row>
    <row r="210" spans="12:25" x14ac:dyDescent="0.35">
      <c r="L210" s="544"/>
      <c r="M210" s="544"/>
      <c r="N210" s="544"/>
      <c r="O210" s="544"/>
      <c r="P210" s="544"/>
      <c r="Q210" s="544"/>
      <c r="R210" s="544"/>
      <c r="S210" s="544">
        <v>208</v>
      </c>
      <c r="T210" s="544">
        <v>150</v>
      </c>
      <c r="U210" s="544"/>
      <c r="V210" s="544"/>
      <c r="W210" s="544"/>
      <c r="X210" s="544"/>
      <c r="Y210" s="185"/>
    </row>
    <row r="211" spans="12:25" x14ac:dyDescent="0.35">
      <c r="L211" s="544"/>
      <c r="M211" s="544"/>
      <c r="N211" s="544"/>
      <c r="O211" s="544"/>
      <c r="P211" s="544"/>
      <c r="Q211" s="544"/>
      <c r="R211" s="544"/>
      <c r="S211" s="544">
        <v>209</v>
      </c>
      <c r="T211" s="544">
        <v>150</v>
      </c>
      <c r="U211" s="544"/>
      <c r="V211" s="544"/>
      <c r="W211" s="544"/>
      <c r="X211" s="544"/>
      <c r="Y211" s="185"/>
    </row>
    <row r="212" spans="12:25" x14ac:dyDescent="0.35">
      <c r="L212" s="544"/>
      <c r="M212" s="544"/>
      <c r="N212" s="544"/>
      <c r="O212" s="544"/>
      <c r="P212" s="544"/>
      <c r="Q212" s="544"/>
      <c r="R212" s="544"/>
      <c r="S212" s="544">
        <v>210</v>
      </c>
      <c r="T212" s="544">
        <v>150</v>
      </c>
      <c r="U212" s="544"/>
      <c r="V212" s="544"/>
      <c r="W212" s="544"/>
      <c r="X212" s="544"/>
      <c r="Y212" s="185"/>
    </row>
    <row r="213" spans="12:25" x14ac:dyDescent="0.35">
      <c r="L213" s="544"/>
      <c r="M213" s="544"/>
      <c r="N213" s="544"/>
      <c r="O213" s="544"/>
      <c r="P213" s="544"/>
      <c r="Q213" s="544"/>
      <c r="R213" s="544"/>
      <c r="S213" s="544">
        <v>211</v>
      </c>
      <c r="T213" s="544">
        <v>150</v>
      </c>
      <c r="U213" s="544"/>
      <c r="V213" s="544"/>
      <c r="W213" s="544"/>
      <c r="X213" s="544"/>
      <c r="Y213" s="185"/>
    </row>
    <row r="214" spans="12:25" x14ac:dyDescent="0.35">
      <c r="L214" s="544"/>
      <c r="M214" s="544"/>
      <c r="N214" s="544"/>
      <c r="O214" s="544"/>
      <c r="P214" s="544"/>
      <c r="Q214" s="544"/>
      <c r="R214" s="544"/>
      <c r="S214" s="544">
        <v>212</v>
      </c>
      <c r="T214" s="544">
        <v>150</v>
      </c>
      <c r="U214" s="544"/>
      <c r="V214" s="544"/>
      <c r="W214" s="544"/>
      <c r="X214" s="544"/>
      <c r="Y214" s="185"/>
    </row>
    <row r="215" spans="12:25" x14ac:dyDescent="0.35">
      <c r="L215" s="544"/>
      <c r="M215" s="544"/>
      <c r="N215" s="544"/>
      <c r="O215" s="544"/>
      <c r="P215" s="544"/>
      <c r="Q215" s="544"/>
      <c r="R215" s="544"/>
      <c r="S215" s="544">
        <v>213</v>
      </c>
      <c r="T215" s="544">
        <v>150</v>
      </c>
      <c r="U215" s="544"/>
      <c r="V215" s="544"/>
      <c r="W215" s="544"/>
      <c r="X215" s="544"/>
      <c r="Y215" s="185"/>
    </row>
    <row r="216" spans="12:25" x14ac:dyDescent="0.35">
      <c r="L216" s="544"/>
      <c r="M216" s="544"/>
      <c r="N216" s="544"/>
      <c r="O216" s="544"/>
      <c r="P216" s="544"/>
      <c r="Q216" s="544"/>
      <c r="R216" s="544"/>
      <c r="S216" s="544">
        <v>214</v>
      </c>
      <c r="T216" s="544">
        <v>150</v>
      </c>
      <c r="U216" s="544"/>
      <c r="V216" s="544"/>
      <c r="W216" s="544"/>
      <c r="X216" s="544"/>
      <c r="Y216" s="185"/>
    </row>
    <row r="217" spans="12:25" x14ac:dyDescent="0.35">
      <c r="L217" s="544"/>
      <c r="M217" s="544"/>
      <c r="N217" s="544"/>
      <c r="O217" s="544"/>
      <c r="P217" s="544"/>
      <c r="Q217" s="544"/>
      <c r="R217" s="544"/>
      <c r="S217" s="544">
        <v>215</v>
      </c>
      <c r="T217" s="544">
        <v>150</v>
      </c>
      <c r="U217" s="544"/>
      <c r="V217" s="544"/>
      <c r="W217" s="544"/>
      <c r="X217" s="544"/>
      <c r="Y217" s="185"/>
    </row>
    <row r="218" spans="12:25" x14ac:dyDescent="0.35">
      <c r="L218" s="544"/>
      <c r="M218" s="544"/>
      <c r="N218" s="544"/>
      <c r="O218" s="544"/>
      <c r="P218" s="544"/>
      <c r="Q218" s="544"/>
      <c r="R218" s="544"/>
      <c r="S218" s="544">
        <v>216</v>
      </c>
      <c r="T218" s="544">
        <v>150</v>
      </c>
      <c r="U218" s="544"/>
      <c r="V218" s="544"/>
      <c r="W218" s="544"/>
      <c r="X218" s="544"/>
      <c r="Y218" s="185"/>
    </row>
    <row r="219" spans="12:25" x14ac:dyDescent="0.35">
      <c r="L219" s="544"/>
      <c r="M219" s="544"/>
      <c r="N219" s="544"/>
      <c r="O219" s="544"/>
      <c r="P219" s="544"/>
      <c r="Q219" s="544"/>
      <c r="R219" s="544"/>
      <c r="S219" s="544">
        <v>217</v>
      </c>
      <c r="T219" s="544">
        <v>150</v>
      </c>
      <c r="U219" s="544"/>
      <c r="V219" s="544"/>
      <c r="W219" s="544"/>
      <c r="X219" s="544"/>
      <c r="Y219" s="185"/>
    </row>
    <row r="220" spans="12:25" x14ac:dyDescent="0.35">
      <c r="L220" s="544"/>
      <c r="M220" s="544"/>
      <c r="N220" s="544"/>
      <c r="O220" s="544"/>
      <c r="P220" s="544"/>
      <c r="Q220" s="544"/>
      <c r="R220" s="544"/>
      <c r="S220" s="544">
        <v>218</v>
      </c>
      <c r="T220" s="544">
        <v>150</v>
      </c>
      <c r="U220" s="544"/>
      <c r="V220" s="544"/>
      <c r="W220" s="544"/>
      <c r="X220" s="544"/>
      <c r="Y220" s="185"/>
    </row>
    <row r="221" spans="12:25" x14ac:dyDescent="0.35">
      <c r="L221" s="544"/>
      <c r="M221" s="544"/>
      <c r="N221" s="544"/>
      <c r="O221" s="544"/>
      <c r="P221" s="544"/>
      <c r="Q221" s="544"/>
      <c r="R221" s="544"/>
      <c r="S221" s="544">
        <v>219</v>
      </c>
      <c r="T221" s="544">
        <v>150</v>
      </c>
      <c r="U221" s="544"/>
      <c r="V221" s="544"/>
      <c r="W221" s="544"/>
      <c r="X221" s="544"/>
      <c r="Y221" s="185"/>
    </row>
    <row r="222" spans="12:25" x14ac:dyDescent="0.35">
      <c r="L222" s="544"/>
      <c r="M222" s="544"/>
      <c r="N222" s="544"/>
      <c r="O222" s="544"/>
      <c r="P222" s="544"/>
      <c r="Q222" s="544"/>
      <c r="R222" s="544"/>
      <c r="S222" s="544">
        <v>220</v>
      </c>
      <c r="T222" s="544">
        <v>150</v>
      </c>
      <c r="U222" s="544"/>
      <c r="V222" s="544"/>
      <c r="W222" s="544"/>
      <c r="X222" s="544"/>
      <c r="Y222" s="185"/>
    </row>
    <row r="223" spans="12:25" x14ac:dyDescent="0.35">
      <c r="L223" s="544"/>
      <c r="M223" s="544"/>
      <c r="N223" s="544"/>
      <c r="O223" s="544"/>
      <c r="P223" s="544"/>
      <c r="Q223" s="544"/>
      <c r="R223" s="544"/>
      <c r="S223" s="544">
        <v>221</v>
      </c>
      <c r="T223" s="544">
        <v>150</v>
      </c>
      <c r="U223" s="544"/>
      <c r="V223" s="544"/>
      <c r="W223" s="544"/>
      <c r="X223" s="544"/>
      <c r="Y223" s="185"/>
    </row>
    <row r="224" spans="12:25" x14ac:dyDescent="0.35">
      <c r="L224" s="544"/>
      <c r="M224" s="544"/>
      <c r="N224" s="544"/>
      <c r="O224" s="544"/>
      <c r="P224" s="544"/>
      <c r="Q224" s="544"/>
      <c r="R224" s="544"/>
      <c r="S224" s="544">
        <v>222</v>
      </c>
      <c r="T224" s="544">
        <v>150</v>
      </c>
      <c r="U224" s="544"/>
      <c r="V224" s="544"/>
      <c r="W224" s="544"/>
      <c r="X224" s="544"/>
      <c r="Y224" s="185"/>
    </row>
    <row r="225" spans="12:25" x14ac:dyDescent="0.35">
      <c r="L225" s="544"/>
      <c r="M225" s="544"/>
      <c r="N225" s="544"/>
      <c r="O225" s="544"/>
      <c r="P225" s="544"/>
      <c r="Q225" s="544"/>
      <c r="R225" s="544"/>
      <c r="S225" s="544">
        <v>223</v>
      </c>
      <c r="T225" s="544">
        <v>150</v>
      </c>
      <c r="U225" s="544"/>
      <c r="V225" s="544"/>
      <c r="W225" s="544"/>
      <c r="X225" s="544"/>
      <c r="Y225" s="185"/>
    </row>
    <row r="226" spans="12:25" x14ac:dyDescent="0.35">
      <c r="L226" s="544"/>
      <c r="M226" s="544"/>
      <c r="N226" s="544"/>
      <c r="O226" s="544"/>
      <c r="P226" s="544"/>
      <c r="Q226" s="544"/>
      <c r="R226" s="544"/>
      <c r="S226" s="544">
        <v>224</v>
      </c>
      <c r="T226" s="544">
        <v>150</v>
      </c>
      <c r="U226" s="544"/>
      <c r="V226" s="544"/>
      <c r="W226" s="544"/>
      <c r="X226" s="544"/>
      <c r="Y226" s="185"/>
    </row>
    <row r="227" spans="12:25" x14ac:dyDescent="0.35">
      <c r="L227" s="544"/>
      <c r="M227" s="544"/>
      <c r="N227" s="544"/>
      <c r="O227" s="544"/>
      <c r="P227" s="544"/>
      <c r="Q227" s="544"/>
      <c r="R227" s="544"/>
      <c r="S227" s="544">
        <v>225</v>
      </c>
      <c r="T227" s="544">
        <v>150</v>
      </c>
      <c r="U227" s="544"/>
      <c r="V227" s="544"/>
      <c r="W227" s="544"/>
      <c r="X227" s="544"/>
      <c r="Y227" s="185"/>
    </row>
    <row r="228" spans="12:25" x14ac:dyDescent="0.35">
      <c r="L228" s="544"/>
      <c r="M228" s="544"/>
      <c r="N228" s="544"/>
      <c r="O228" s="544"/>
      <c r="P228" s="544"/>
      <c r="Q228" s="544"/>
      <c r="R228" s="544"/>
      <c r="S228" s="544">
        <v>226</v>
      </c>
      <c r="T228" s="544">
        <v>150</v>
      </c>
      <c r="U228" s="544"/>
      <c r="V228" s="544"/>
      <c r="W228" s="544"/>
      <c r="X228" s="544"/>
      <c r="Y228" s="185"/>
    </row>
    <row r="229" spans="12:25" x14ac:dyDescent="0.35">
      <c r="L229" s="544"/>
      <c r="M229" s="544"/>
      <c r="N229" s="544"/>
      <c r="O229" s="544"/>
      <c r="P229" s="544"/>
      <c r="Q229" s="544"/>
      <c r="R229" s="544"/>
      <c r="S229" s="544">
        <v>227</v>
      </c>
      <c r="T229" s="544">
        <v>150</v>
      </c>
      <c r="U229" s="544"/>
      <c r="V229" s="544"/>
      <c r="W229" s="544"/>
      <c r="X229" s="544"/>
      <c r="Y229" s="185"/>
    </row>
    <row r="230" spans="12:25" x14ac:dyDescent="0.35">
      <c r="L230" s="544"/>
      <c r="M230" s="544"/>
      <c r="N230" s="544"/>
      <c r="O230" s="544"/>
      <c r="P230" s="544"/>
      <c r="Q230" s="544"/>
      <c r="R230" s="544"/>
      <c r="S230" s="544">
        <v>228</v>
      </c>
      <c r="T230" s="544">
        <v>150</v>
      </c>
      <c r="U230" s="544"/>
      <c r="V230" s="544"/>
      <c r="W230" s="544"/>
      <c r="X230" s="544"/>
      <c r="Y230" s="185"/>
    </row>
    <row r="231" spans="12:25" x14ac:dyDescent="0.35">
      <c r="L231" s="544"/>
      <c r="M231" s="544"/>
      <c r="N231" s="544"/>
      <c r="O231" s="544"/>
      <c r="P231" s="544"/>
      <c r="Q231" s="544"/>
      <c r="R231" s="544"/>
      <c r="S231" s="544">
        <v>229</v>
      </c>
      <c r="T231" s="544">
        <v>150</v>
      </c>
      <c r="U231" s="544"/>
      <c r="V231" s="544"/>
      <c r="W231" s="544"/>
      <c r="X231" s="544"/>
      <c r="Y231" s="185"/>
    </row>
    <row r="232" spans="12:25" x14ac:dyDescent="0.35">
      <c r="L232" s="544"/>
      <c r="M232" s="544"/>
      <c r="N232" s="544"/>
      <c r="O232" s="544"/>
      <c r="P232" s="544"/>
      <c r="Q232" s="544"/>
      <c r="R232" s="544"/>
      <c r="S232" s="544">
        <v>230</v>
      </c>
      <c r="T232" s="544">
        <v>150</v>
      </c>
      <c r="U232" s="544"/>
      <c r="V232" s="544"/>
      <c r="W232" s="544"/>
      <c r="X232" s="544"/>
      <c r="Y232" s="185"/>
    </row>
    <row r="233" spans="12:25" x14ac:dyDescent="0.35">
      <c r="L233" s="544"/>
      <c r="M233" s="544"/>
      <c r="N233" s="544"/>
      <c r="O233" s="544"/>
      <c r="P233" s="544"/>
      <c r="Q233" s="544"/>
      <c r="R233" s="544"/>
      <c r="S233" s="544">
        <v>231</v>
      </c>
      <c r="T233" s="544">
        <v>150</v>
      </c>
      <c r="U233" s="544"/>
      <c r="V233" s="544"/>
      <c r="W233" s="544"/>
      <c r="X233" s="544"/>
      <c r="Y233" s="185"/>
    </row>
    <row r="234" spans="12:25" x14ac:dyDescent="0.35">
      <c r="L234" s="544"/>
      <c r="M234" s="544"/>
      <c r="N234" s="544"/>
      <c r="O234" s="544"/>
      <c r="P234" s="544"/>
      <c r="Q234" s="544"/>
      <c r="R234" s="544"/>
      <c r="S234" s="544">
        <v>232</v>
      </c>
      <c r="T234" s="544">
        <v>150</v>
      </c>
      <c r="U234" s="544"/>
      <c r="V234" s="544"/>
      <c r="W234" s="544"/>
      <c r="X234" s="544"/>
      <c r="Y234" s="185"/>
    </row>
    <row r="235" spans="12:25" x14ac:dyDescent="0.35">
      <c r="L235" s="544"/>
      <c r="M235" s="544"/>
      <c r="N235" s="544"/>
      <c r="O235" s="544"/>
      <c r="P235" s="544"/>
      <c r="Q235" s="544"/>
      <c r="R235" s="544"/>
      <c r="S235" s="544">
        <v>233</v>
      </c>
      <c r="T235" s="544">
        <v>150</v>
      </c>
      <c r="U235" s="544"/>
      <c r="V235" s="544"/>
      <c r="W235" s="544"/>
      <c r="X235" s="544"/>
      <c r="Y235" s="185"/>
    </row>
    <row r="236" spans="12:25" x14ac:dyDescent="0.35">
      <c r="L236" s="544"/>
      <c r="M236" s="544"/>
      <c r="N236" s="544"/>
      <c r="O236" s="544"/>
      <c r="P236" s="544"/>
      <c r="Q236" s="544"/>
      <c r="R236" s="544"/>
      <c r="S236" s="544">
        <v>234</v>
      </c>
      <c r="T236" s="544">
        <v>150</v>
      </c>
      <c r="U236" s="544"/>
      <c r="V236" s="544"/>
      <c r="W236" s="544"/>
      <c r="X236" s="544"/>
      <c r="Y236" s="185"/>
    </row>
    <row r="237" spans="12:25" x14ac:dyDescent="0.35">
      <c r="L237" s="544"/>
      <c r="M237" s="544"/>
      <c r="N237" s="544"/>
      <c r="O237" s="544"/>
      <c r="P237" s="544"/>
      <c r="Q237" s="544"/>
      <c r="R237" s="544"/>
      <c r="S237" s="544">
        <v>235</v>
      </c>
      <c r="T237" s="544">
        <v>150</v>
      </c>
      <c r="U237" s="544"/>
      <c r="V237" s="544"/>
      <c r="W237" s="544"/>
      <c r="X237" s="544"/>
      <c r="Y237" s="185"/>
    </row>
    <row r="238" spans="12:25" x14ac:dyDescent="0.35">
      <c r="L238" s="544"/>
      <c r="M238" s="544"/>
      <c r="N238" s="544"/>
      <c r="O238" s="544"/>
      <c r="P238" s="544"/>
      <c r="Q238" s="544"/>
      <c r="R238" s="544"/>
      <c r="S238" s="544">
        <v>236</v>
      </c>
      <c r="T238" s="544">
        <v>150</v>
      </c>
      <c r="U238" s="544"/>
      <c r="V238" s="544"/>
      <c r="W238" s="544"/>
      <c r="X238" s="544"/>
      <c r="Y238" s="185"/>
    </row>
    <row r="239" spans="12:25" x14ac:dyDescent="0.35">
      <c r="L239" s="544"/>
      <c r="M239" s="544"/>
      <c r="N239" s="544"/>
      <c r="O239" s="544"/>
      <c r="P239" s="544"/>
      <c r="Q239" s="544"/>
      <c r="R239" s="544"/>
      <c r="S239" s="544">
        <v>237</v>
      </c>
      <c r="T239" s="544">
        <v>150</v>
      </c>
      <c r="U239" s="544"/>
      <c r="V239" s="544"/>
      <c r="W239" s="544"/>
      <c r="X239" s="544"/>
      <c r="Y239" s="185"/>
    </row>
    <row r="240" spans="12:25" x14ac:dyDescent="0.35">
      <c r="L240" s="544"/>
      <c r="M240" s="544"/>
      <c r="N240" s="544"/>
      <c r="O240" s="544"/>
      <c r="P240" s="544"/>
      <c r="Q240" s="544"/>
      <c r="R240" s="544"/>
      <c r="S240" s="544">
        <v>238</v>
      </c>
      <c r="T240" s="544">
        <v>150</v>
      </c>
      <c r="U240" s="544"/>
      <c r="V240" s="544"/>
      <c r="W240" s="544"/>
      <c r="X240" s="544"/>
      <c r="Y240" s="185"/>
    </row>
    <row r="241" spans="12:25" x14ac:dyDescent="0.35">
      <c r="L241" s="544"/>
      <c r="M241" s="544"/>
      <c r="N241" s="544"/>
      <c r="O241" s="544"/>
      <c r="P241" s="544"/>
      <c r="Q241" s="544"/>
      <c r="R241" s="544"/>
      <c r="S241" s="544">
        <v>239</v>
      </c>
      <c r="T241" s="544">
        <v>150</v>
      </c>
      <c r="U241" s="544"/>
      <c r="V241" s="544"/>
      <c r="W241" s="544"/>
      <c r="X241" s="544"/>
      <c r="Y241" s="185"/>
    </row>
    <row r="242" spans="12:25" x14ac:dyDescent="0.35">
      <c r="L242" s="544"/>
      <c r="M242" s="544"/>
      <c r="N242" s="544"/>
      <c r="O242" s="544"/>
      <c r="P242" s="544"/>
      <c r="Q242" s="544"/>
      <c r="R242" s="544"/>
      <c r="S242" s="544">
        <v>240</v>
      </c>
      <c r="T242" s="544">
        <v>150</v>
      </c>
      <c r="U242" s="544"/>
      <c r="V242" s="544"/>
      <c r="W242" s="544"/>
      <c r="X242" s="544"/>
      <c r="Y242" s="185"/>
    </row>
    <row r="243" spans="12:25" x14ac:dyDescent="0.35">
      <c r="L243" s="544"/>
      <c r="M243" s="544"/>
      <c r="N243" s="544"/>
      <c r="O243" s="544"/>
      <c r="P243" s="544"/>
      <c r="Q243" s="544"/>
      <c r="R243" s="544"/>
      <c r="S243" s="544">
        <v>241</v>
      </c>
      <c r="T243" s="544">
        <v>150</v>
      </c>
      <c r="U243" s="544"/>
      <c r="V243" s="544"/>
      <c r="W243" s="544"/>
      <c r="X243" s="544"/>
      <c r="Y243" s="185"/>
    </row>
    <row r="244" spans="12:25" x14ac:dyDescent="0.35">
      <c r="L244" s="544"/>
      <c r="M244" s="544"/>
      <c r="N244" s="544"/>
      <c r="O244" s="544"/>
      <c r="P244" s="544"/>
      <c r="Q244" s="544"/>
      <c r="R244" s="544"/>
      <c r="S244" s="544">
        <v>242</v>
      </c>
      <c r="T244" s="544">
        <v>150</v>
      </c>
      <c r="U244" s="544"/>
      <c r="V244" s="544"/>
      <c r="W244" s="544"/>
      <c r="X244" s="544"/>
      <c r="Y244" s="185"/>
    </row>
    <row r="245" spans="12:25" x14ac:dyDescent="0.35">
      <c r="L245" s="544"/>
      <c r="M245" s="544"/>
      <c r="N245" s="544"/>
      <c r="O245" s="544"/>
      <c r="P245" s="544"/>
      <c r="Q245" s="544"/>
      <c r="R245" s="544"/>
      <c r="S245" s="544">
        <v>243</v>
      </c>
      <c r="T245" s="544">
        <v>150</v>
      </c>
      <c r="U245" s="544"/>
      <c r="V245" s="544"/>
      <c r="W245" s="544"/>
      <c r="X245" s="544"/>
      <c r="Y245" s="185"/>
    </row>
    <row r="246" spans="12:25" x14ac:dyDescent="0.35">
      <c r="L246" s="544"/>
      <c r="M246" s="544"/>
      <c r="N246" s="544"/>
      <c r="O246" s="544"/>
      <c r="P246" s="544"/>
      <c r="Q246" s="544"/>
      <c r="R246" s="544"/>
      <c r="S246" s="544">
        <v>244</v>
      </c>
      <c r="T246" s="544">
        <v>150</v>
      </c>
      <c r="U246" s="544"/>
      <c r="V246" s="544"/>
      <c r="W246" s="544"/>
      <c r="X246" s="544"/>
      <c r="Y246" s="185"/>
    </row>
    <row r="247" spans="12:25" x14ac:dyDescent="0.35">
      <c r="L247" s="544"/>
      <c r="M247" s="544"/>
      <c r="N247" s="544"/>
      <c r="O247" s="544"/>
      <c r="P247" s="544"/>
      <c r="Q247" s="544"/>
      <c r="R247" s="544"/>
      <c r="S247" s="544">
        <v>245</v>
      </c>
      <c r="T247" s="544">
        <v>150</v>
      </c>
      <c r="U247" s="544"/>
      <c r="V247" s="544"/>
      <c r="W247" s="544"/>
      <c r="X247" s="544"/>
      <c r="Y247" s="185"/>
    </row>
    <row r="248" spans="12:25" x14ac:dyDescent="0.35">
      <c r="L248" s="544"/>
      <c r="M248" s="544"/>
      <c r="N248" s="544"/>
      <c r="O248" s="544"/>
      <c r="P248" s="544"/>
      <c r="Q248" s="544"/>
      <c r="R248" s="544"/>
      <c r="S248" s="544">
        <v>246</v>
      </c>
      <c r="T248" s="544">
        <v>150</v>
      </c>
      <c r="U248" s="544"/>
      <c r="V248" s="544"/>
      <c r="W248" s="544"/>
      <c r="X248" s="544"/>
      <c r="Y248" s="185"/>
    </row>
    <row r="249" spans="12:25" x14ac:dyDescent="0.35">
      <c r="L249" s="544"/>
      <c r="M249" s="544"/>
      <c r="N249" s="544"/>
      <c r="O249" s="544"/>
      <c r="P249" s="544"/>
      <c r="Q249" s="544"/>
      <c r="R249" s="544"/>
      <c r="S249" s="544">
        <v>247</v>
      </c>
      <c r="T249" s="544">
        <v>150</v>
      </c>
      <c r="U249" s="544"/>
      <c r="V249" s="544"/>
      <c r="W249" s="544"/>
      <c r="X249" s="544"/>
      <c r="Y249" s="185"/>
    </row>
    <row r="250" spans="12:25" x14ac:dyDescent="0.35">
      <c r="L250" s="544"/>
      <c r="M250" s="544"/>
      <c r="N250" s="544"/>
      <c r="O250" s="544"/>
      <c r="P250" s="544"/>
      <c r="Q250" s="544"/>
      <c r="R250" s="544"/>
      <c r="S250" s="544">
        <v>248</v>
      </c>
      <c r="T250" s="544">
        <v>150</v>
      </c>
      <c r="U250" s="544"/>
      <c r="V250" s="544"/>
      <c r="W250" s="544"/>
      <c r="X250" s="544"/>
      <c r="Y250" s="185"/>
    </row>
    <row r="251" spans="12:25" x14ac:dyDescent="0.35">
      <c r="L251" s="544"/>
      <c r="M251" s="544"/>
      <c r="N251" s="544"/>
      <c r="O251" s="544"/>
      <c r="P251" s="544"/>
      <c r="Q251" s="544"/>
      <c r="R251" s="544"/>
      <c r="S251" s="544">
        <v>249</v>
      </c>
      <c r="T251" s="544">
        <v>150</v>
      </c>
      <c r="U251" s="544"/>
      <c r="V251" s="544"/>
      <c r="W251" s="544"/>
      <c r="X251" s="544"/>
      <c r="Y251" s="185"/>
    </row>
    <row r="252" spans="12:25" x14ac:dyDescent="0.35">
      <c r="L252" s="544"/>
      <c r="M252" s="544"/>
      <c r="N252" s="544"/>
      <c r="O252" s="544"/>
      <c r="P252" s="544"/>
      <c r="Q252" s="544"/>
      <c r="R252" s="544"/>
      <c r="S252" s="544">
        <v>250</v>
      </c>
      <c r="T252" s="544">
        <v>150</v>
      </c>
      <c r="U252" s="544"/>
      <c r="V252" s="544"/>
      <c r="W252" s="544"/>
      <c r="X252" s="544"/>
      <c r="Y252" s="185"/>
    </row>
    <row r="253" spans="12:25" x14ac:dyDescent="0.35">
      <c r="L253" s="544"/>
      <c r="M253" s="544"/>
      <c r="N253" s="544"/>
      <c r="O253" s="544"/>
      <c r="P253" s="544"/>
      <c r="Q253" s="544"/>
      <c r="R253" s="544"/>
      <c r="S253" s="544">
        <v>251</v>
      </c>
      <c r="T253" s="544">
        <v>150</v>
      </c>
      <c r="U253" s="544"/>
      <c r="V253" s="544"/>
      <c r="W253" s="544"/>
      <c r="X253" s="544"/>
      <c r="Y253" s="185"/>
    </row>
    <row r="254" spans="12:25" x14ac:dyDescent="0.35">
      <c r="L254" s="544"/>
      <c r="M254" s="544"/>
      <c r="N254" s="544"/>
      <c r="O254" s="544"/>
      <c r="P254" s="544"/>
      <c r="Q254" s="544"/>
      <c r="R254" s="544"/>
      <c r="S254" s="544">
        <v>252</v>
      </c>
      <c r="T254" s="544">
        <v>150</v>
      </c>
      <c r="U254" s="544"/>
      <c r="V254" s="544"/>
      <c r="W254" s="544"/>
      <c r="X254" s="544"/>
      <c r="Y254" s="185"/>
    </row>
    <row r="255" spans="12:25" x14ac:dyDescent="0.35">
      <c r="L255" s="544"/>
      <c r="M255" s="544"/>
      <c r="N255" s="544"/>
      <c r="O255" s="544"/>
      <c r="P255" s="544"/>
      <c r="Q255" s="544"/>
      <c r="R255" s="544"/>
      <c r="S255" s="544">
        <v>253</v>
      </c>
      <c r="T255" s="544">
        <v>150</v>
      </c>
      <c r="U255" s="544"/>
      <c r="V255" s="544"/>
      <c r="W255" s="544"/>
      <c r="X255" s="544"/>
      <c r="Y255" s="185"/>
    </row>
    <row r="256" spans="12:25" x14ac:dyDescent="0.35">
      <c r="L256" s="544"/>
      <c r="M256" s="544"/>
      <c r="N256" s="544"/>
      <c r="O256" s="544"/>
      <c r="P256" s="544"/>
      <c r="Q256" s="544"/>
      <c r="R256" s="544"/>
      <c r="S256" s="544">
        <v>254</v>
      </c>
      <c r="T256" s="544">
        <v>150</v>
      </c>
      <c r="U256" s="544"/>
      <c r="V256" s="544"/>
      <c r="W256" s="544"/>
      <c r="X256" s="544"/>
      <c r="Y256" s="185"/>
    </row>
    <row r="257" spans="12:25" x14ac:dyDescent="0.35">
      <c r="L257" s="544"/>
      <c r="M257" s="544"/>
      <c r="N257" s="544"/>
      <c r="O257" s="544"/>
      <c r="P257" s="544"/>
      <c r="Q257" s="544"/>
      <c r="R257" s="544"/>
      <c r="S257" s="544">
        <v>255</v>
      </c>
      <c r="T257" s="544">
        <v>150</v>
      </c>
      <c r="U257" s="544"/>
      <c r="V257" s="544"/>
      <c r="W257" s="544"/>
      <c r="X257" s="544"/>
      <c r="Y257" s="185"/>
    </row>
    <row r="258" spans="12:25" x14ac:dyDescent="0.35">
      <c r="L258" s="544"/>
      <c r="M258" s="544"/>
      <c r="N258" s="544"/>
      <c r="O258" s="544"/>
      <c r="P258" s="544"/>
      <c r="Q258" s="544"/>
      <c r="R258" s="544"/>
      <c r="S258" s="544">
        <v>256</v>
      </c>
      <c r="T258" s="544">
        <v>150</v>
      </c>
      <c r="U258" s="544"/>
      <c r="V258" s="544"/>
      <c r="W258" s="544"/>
      <c r="X258" s="544"/>
      <c r="Y258" s="185"/>
    </row>
    <row r="259" spans="12:25" x14ac:dyDescent="0.35">
      <c r="L259" s="544"/>
      <c r="M259" s="544"/>
      <c r="N259" s="544"/>
      <c r="O259" s="544"/>
      <c r="P259" s="544"/>
      <c r="Q259" s="544"/>
      <c r="R259" s="544"/>
      <c r="S259" s="544">
        <v>257</v>
      </c>
      <c r="T259" s="544">
        <v>150</v>
      </c>
      <c r="U259" s="544"/>
      <c r="V259" s="544"/>
      <c r="W259" s="544"/>
      <c r="X259" s="544"/>
      <c r="Y259" s="185"/>
    </row>
    <row r="260" spans="12:25" x14ac:dyDescent="0.35">
      <c r="L260" s="544"/>
      <c r="M260" s="544"/>
      <c r="N260" s="544"/>
      <c r="O260" s="544"/>
      <c r="P260" s="544"/>
      <c r="Q260" s="544"/>
      <c r="R260" s="544"/>
      <c r="S260" s="544">
        <v>258</v>
      </c>
      <c r="T260" s="544">
        <v>150</v>
      </c>
      <c r="U260" s="544"/>
      <c r="V260" s="544"/>
      <c r="W260" s="544"/>
      <c r="X260" s="544"/>
      <c r="Y260" s="185"/>
    </row>
    <row r="261" spans="12:25" x14ac:dyDescent="0.35">
      <c r="L261" s="544"/>
      <c r="M261" s="544"/>
      <c r="N261" s="544"/>
      <c r="O261" s="544"/>
      <c r="P261" s="544"/>
      <c r="Q261" s="544"/>
      <c r="R261" s="544"/>
      <c r="S261" s="544">
        <v>259</v>
      </c>
      <c r="T261" s="544">
        <v>150</v>
      </c>
      <c r="U261" s="544"/>
      <c r="V261" s="544"/>
      <c r="W261" s="544"/>
      <c r="X261" s="544"/>
      <c r="Y261" s="185"/>
    </row>
    <row r="262" spans="12:25" x14ac:dyDescent="0.35">
      <c r="L262" s="544"/>
      <c r="M262" s="544"/>
      <c r="N262" s="544"/>
      <c r="O262" s="544"/>
      <c r="P262" s="544"/>
      <c r="Q262" s="544"/>
      <c r="R262" s="544"/>
      <c r="S262" s="544">
        <v>260</v>
      </c>
      <c r="T262" s="544">
        <v>150</v>
      </c>
      <c r="U262" s="544"/>
      <c r="V262" s="544"/>
      <c r="W262" s="544"/>
      <c r="X262" s="544"/>
      <c r="Y262" s="185"/>
    </row>
    <row r="263" spans="12:25" x14ac:dyDescent="0.35">
      <c r="L263" s="544"/>
      <c r="M263" s="544"/>
      <c r="N263" s="544"/>
      <c r="O263" s="544"/>
      <c r="P263" s="544"/>
      <c r="Q263" s="544"/>
      <c r="R263" s="544"/>
      <c r="S263" s="544">
        <v>261</v>
      </c>
      <c r="T263" s="544">
        <v>150</v>
      </c>
      <c r="U263" s="544"/>
      <c r="V263" s="544"/>
      <c r="W263" s="544"/>
      <c r="X263" s="544"/>
      <c r="Y263" s="185"/>
    </row>
    <row r="264" spans="12:25" x14ac:dyDescent="0.35">
      <c r="L264" s="544"/>
      <c r="M264" s="544"/>
      <c r="N264" s="544"/>
      <c r="O264" s="544"/>
      <c r="P264" s="544"/>
      <c r="Q264" s="544"/>
      <c r="R264" s="544"/>
      <c r="S264" s="544">
        <v>262</v>
      </c>
      <c r="T264" s="544">
        <v>150</v>
      </c>
      <c r="U264" s="544"/>
      <c r="V264" s="544"/>
      <c r="W264" s="544"/>
      <c r="X264" s="544"/>
      <c r="Y264" s="185"/>
    </row>
    <row r="265" spans="12:25" x14ac:dyDescent="0.35">
      <c r="L265" s="544"/>
      <c r="M265" s="544"/>
      <c r="N265" s="544"/>
      <c r="O265" s="544"/>
      <c r="P265" s="544"/>
      <c r="Q265" s="544"/>
      <c r="R265" s="544"/>
      <c r="S265" s="544">
        <v>263</v>
      </c>
      <c r="T265" s="544">
        <v>150</v>
      </c>
      <c r="U265" s="544"/>
      <c r="V265" s="544"/>
      <c r="W265" s="544"/>
      <c r="X265" s="544"/>
      <c r="Y265" s="185"/>
    </row>
    <row r="266" spans="12:25" x14ac:dyDescent="0.35">
      <c r="L266" s="544"/>
      <c r="M266" s="544"/>
      <c r="N266" s="544"/>
      <c r="O266" s="544"/>
      <c r="P266" s="544"/>
      <c r="Q266" s="544"/>
      <c r="R266" s="544"/>
      <c r="S266" s="544">
        <v>264</v>
      </c>
      <c r="T266" s="544">
        <v>150</v>
      </c>
      <c r="U266" s="544"/>
      <c r="V266" s="544"/>
      <c r="W266" s="544"/>
      <c r="X266" s="544"/>
      <c r="Y266" s="185"/>
    </row>
    <row r="267" spans="12:25" x14ac:dyDescent="0.35">
      <c r="L267" s="544"/>
      <c r="M267" s="544"/>
      <c r="N267" s="544"/>
      <c r="O267" s="544"/>
      <c r="P267" s="544"/>
      <c r="Q267" s="544"/>
      <c r="R267" s="544"/>
      <c r="S267" s="544">
        <v>265</v>
      </c>
      <c r="T267" s="544">
        <v>150</v>
      </c>
      <c r="U267" s="544"/>
      <c r="V267" s="544"/>
      <c r="W267" s="544"/>
      <c r="X267" s="544"/>
      <c r="Y267" s="185"/>
    </row>
    <row r="268" spans="12:25" x14ac:dyDescent="0.35">
      <c r="L268" s="544"/>
      <c r="M268" s="544"/>
      <c r="N268" s="544"/>
      <c r="O268" s="544"/>
      <c r="P268" s="544"/>
      <c r="Q268" s="544"/>
      <c r="R268" s="544"/>
      <c r="S268" s="544">
        <v>266</v>
      </c>
      <c r="T268" s="544">
        <v>150</v>
      </c>
      <c r="U268" s="544"/>
      <c r="V268" s="544"/>
      <c r="W268" s="544"/>
      <c r="X268" s="544"/>
      <c r="Y268" s="185"/>
    </row>
    <row r="269" spans="12:25" x14ac:dyDescent="0.35">
      <c r="L269" s="544"/>
      <c r="M269" s="544"/>
      <c r="N269" s="544"/>
      <c r="O269" s="544"/>
      <c r="P269" s="544"/>
      <c r="Q269" s="544"/>
      <c r="R269" s="544"/>
      <c r="S269" s="544">
        <v>267</v>
      </c>
      <c r="T269" s="544">
        <v>150</v>
      </c>
      <c r="U269" s="544"/>
      <c r="V269" s="544"/>
      <c r="W269" s="544"/>
      <c r="X269" s="544"/>
      <c r="Y269" s="185"/>
    </row>
    <row r="270" spans="12:25" x14ac:dyDescent="0.35">
      <c r="L270" s="544"/>
      <c r="M270" s="544"/>
      <c r="N270" s="544"/>
      <c r="O270" s="544"/>
      <c r="P270" s="544"/>
      <c r="Q270" s="544"/>
      <c r="R270" s="544"/>
      <c r="S270" s="544">
        <v>268</v>
      </c>
      <c r="T270" s="544">
        <v>150</v>
      </c>
      <c r="U270" s="544"/>
      <c r="V270" s="544"/>
      <c r="W270" s="544"/>
      <c r="X270" s="544"/>
      <c r="Y270" s="185"/>
    </row>
    <row r="271" spans="12:25" x14ac:dyDescent="0.35">
      <c r="L271" s="544"/>
      <c r="M271" s="544"/>
      <c r="N271" s="544"/>
      <c r="O271" s="544"/>
      <c r="P271" s="544"/>
      <c r="Q271" s="544"/>
      <c r="R271" s="544"/>
      <c r="S271" s="544">
        <v>269</v>
      </c>
      <c r="T271" s="544">
        <v>150</v>
      </c>
      <c r="U271" s="544"/>
      <c r="V271" s="544"/>
      <c r="W271" s="544"/>
      <c r="X271" s="544"/>
      <c r="Y271" s="185"/>
    </row>
    <row r="272" spans="12:25" x14ac:dyDescent="0.35">
      <c r="L272" s="544"/>
      <c r="M272" s="544"/>
      <c r="N272" s="544"/>
      <c r="O272" s="544"/>
      <c r="P272" s="544"/>
      <c r="Q272" s="544"/>
      <c r="R272" s="544"/>
      <c r="S272" s="544">
        <v>270</v>
      </c>
      <c r="T272" s="544">
        <v>150</v>
      </c>
      <c r="U272" s="544"/>
      <c r="V272" s="544"/>
      <c r="W272" s="544"/>
      <c r="X272" s="544"/>
      <c r="Y272" s="185"/>
    </row>
    <row r="273" spans="12:25" x14ac:dyDescent="0.35">
      <c r="L273" s="544"/>
      <c r="M273" s="544"/>
      <c r="N273" s="544"/>
      <c r="O273" s="544"/>
      <c r="P273" s="544"/>
      <c r="Q273" s="544"/>
      <c r="R273" s="544"/>
      <c r="S273" s="544">
        <v>271</v>
      </c>
      <c r="T273" s="544">
        <v>150</v>
      </c>
      <c r="U273" s="544"/>
      <c r="V273" s="544"/>
      <c r="W273" s="544"/>
      <c r="X273" s="544"/>
      <c r="Y273" s="185"/>
    </row>
    <row r="274" spans="12:25" x14ac:dyDescent="0.35">
      <c r="L274" s="544"/>
      <c r="M274" s="544"/>
      <c r="N274" s="544"/>
      <c r="O274" s="544"/>
      <c r="P274" s="544"/>
      <c r="Q274" s="544"/>
      <c r="R274" s="544"/>
      <c r="S274" s="544">
        <v>272</v>
      </c>
      <c r="T274" s="544">
        <v>150</v>
      </c>
      <c r="U274" s="544"/>
      <c r="V274" s="544"/>
      <c r="W274" s="544"/>
      <c r="X274" s="544"/>
      <c r="Y274" s="185"/>
    </row>
    <row r="275" spans="12:25" x14ac:dyDescent="0.35">
      <c r="L275" s="544"/>
      <c r="M275" s="544"/>
      <c r="N275" s="544"/>
      <c r="O275" s="544"/>
      <c r="P275" s="544"/>
      <c r="Q275" s="544"/>
      <c r="R275" s="544"/>
      <c r="S275" s="544">
        <v>273</v>
      </c>
      <c r="T275" s="544">
        <v>150</v>
      </c>
      <c r="U275" s="544"/>
      <c r="V275" s="544"/>
      <c r="W275" s="544"/>
      <c r="X275" s="544"/>
      <c r="Y275" s="185"/>
    </row>
    <row r="276" spans="12:25" x14ac:dyDescent="0.35">
      <c r="L276" s="544"/>
      <c r="M276" s="544"/>
      <c r="N276" s="544"/>
      <c r="O276" s="544"/>
      <c r="P276" s="544"/>
      <c r="Q276" s="544"/>
      <c r="R276" s="544"/>
      <c r="S276" s="544">
        <v>274</v>
      </c>
      <c r="T276" s="544">
        <v>150</v>
      </c>
      <c r="U276" s="544"/>
      <c r="V276" s="544"/>
      <c r="W276" s="544"/>
      <c r="X276" s="544"/>
      <c r="Y276" s="185"/>
    </row>
    <row r="277" spans="12:25" x14ac:dyDescent="0.35">
      <c r="L277" s="544"/>
      <c r="M277" s="544"/>
      <c r="N277" s="544"/>
      <c r="O277" s="544"/>
      <c r="P277" s="544"/>
      <c r="Q277" s="544"/>
      <c r="R277" s="544"/>
      <c r="S277" s="544">
        <v>275</v>
      </c>
      <c r="T277" s="544">
        <v>150</v>
      </c>
      <c r="U277" s="544"/>
      <c r="V277" s="544"/>
      <c r="W277" s="544"/>
      <c r="X277" s="544"/>
      <c r="Y277" s="185"/>
    </row>
    <row r="278" spans="12:25" x14ac:dyDescent="0.35">
      <c r="L278" s="544"/>
      <c r="M278" s="544"/>
      <c r="N278" s="544"/>
      <c r="O278" s="544"/>
      <c r="P278" s="544"/>
      <c r="Q278" s="544"/>
      <c r="R278" s="544"/>
      <c r="S278" s="544">
        <v>276</v>
      </c>
      <c r="T278" s="544">
        <v>150</v>
      </c>
      <c r="U278" s="544"/>
      <c r="V278" s="544"/>
      <c r="W278" s="544"/>
      <c r="X278" s="544"/>
      <c r="Y278" s="185"/>
    </row>
    <row r="279" spans="12:25" x14ac:dyDescent="0.35">
      <c r="L279" s="544"/>
      <c r="M279" s="544"/>
      <c r="N279" s="544"/>
      <c r="O279" s="544"/>
      <c r="P279" s="544"/>
      <c r="Q279" s="544"/>
      <c r="R279" s="544"/>
      <c r="S279" s="544">
        <v>277</v>
      </c>
      <c r="T279" s="544">
        <v>150</v>
      </c>
      <c r="U279" s="544"/>
      <c r="V279" s="544"/>
      <c r="W279" s="544"/>
      <c r="X279" s="544"/>
      <c r="Y279" s="185"/>
    </row>
    <row r="280" spans="12:25" x14ac:dyDescent="0.35">
      <c r="L280" s="544"/>
      <c r="M280" s="544"/>
      <c r="N280" s="544"/>
      <c r="O280" s="544"/>
      <c r="P280" s="544"/>
      <c r="Q280" s="544"/>
      <c r="R280" s="544"/>
      <c r="S280" s="544">
        <v>278</v>
      </c>
      <c r="T280" s="544">
        <v>150</v>
      </c>
      <c r="U280" s="544"/>
      <c r="V280" s="544"/>
      <c r="W280" s="544"/>
      <c r="X280" s="544"/>
      <c r="Y280" s="185"/>
    </row>
    <row r="281" spans="12:25" x14ac:dyDescent="0.35">
      <c r="L281" s="544"/>
      <c r="M281" s="544"/>
      <c r="N281" s="544"/>
      <c r="O281" s="544"/>
      <c r="P281" s="544"/>
      <c r="Q281" s="544"/>
      <c r="R281" s="544"/>
      <c r="S281" s="544">
        <v>279</v>
      </c>
      <c r="T281" s="544">
        <v>150</v>
      </c>
      <c r="U281" s="544"/>
      <c r="V281" s="544"/>
      <c r="W281" s="544"/>
      <c r="X281" s="544"/>
      <c r="Y281" s="185"/>
    </row>
    <row r="282" spans="12:25" x14ac:dyDescent="0.35">
      <c r="L282" s="544"/>
      <c r="M282" s="544"/>
      <c r="N282" s="544"/>
      <c r="O282" s="544"/>
      <c r="P282" s="544"/>
      <c r="Q282" s="544"/>
      <c r="R282" s="544"/>
      <c r="S282" s="544">
        <v>280</v>
      </c>
      <c r="T282" s="544">
        <v>150</v>
      </c>
      <c r="U282" s="544"/>
      <c r="V282" s="544"/>
      <c r="W282" s="544"/>
      <c r="X282" s="544"/>
      <c r="Y282" s="185"/>
    </row>
    <row r="283" spans="12:25" x14ac:dyDescent="0.35">
      <c r="L283" s="544"/>
      <c r="M283" s="544"/>
      <c r="N283" s="544"/>
      <c r="O283" s="544"/>
      <c r="P283" s="544"/>
      <c r="Q283" s="544"/>
      <c r="R283" s="544"/>
      <c r="S283" s="544">
        <v>281</v>
      </c>
      <c r="T283" s="544">
        <v>150</v>
      </c>
      <c r="U283" s="544"/>
      <c r="V283" s="544"/>
      <c r="W283" s="544"/>
      <c r="X283" s="544"/>
      <c r="Y283" s="185"/>
    </row>
    <row r="284" spans="12:25" x14ac:dyDescent="0.35">
      <c r="L284" s="544"/>
      <c r="M284" s="544"/>
      <c r="N284" s="544"/>
      <c r="O284" s="544"/>
      <c r="P284" s="544"/>
      <c r="Q284" s="544"/>
      <c r="R284" s="544"/>
      <c r="S284" s="544">
        <v>282</v>
      </c>
      <c r="T284" s="544">
        <v>150</v>
      </c>
      <c r="U284" s="544"/>
      <c r="V284" s="544"/>
      <c r="W284" s="544"/>
      <c r="X284" s="544"/>
      <c r="Y284" s="185"/>
    </row>
    <row r="285" spans="12:25" x14ac:dyDescent="0.35">
      <c r="L285" s="544"/>
      <c r="M285" s="544"/>
      <c r="N285" s="544"/>
      <c r="O285" s="544"/>
      <c r="P285" s="544"/>
      <c r="Q285" s="544"/>
      <c r="R285" s="544"/>
      <c r="S285" s="544">
        <v>283</v>
      </c>
      <c r="T285" s="544">
        <v>150</v>
      </c>
      <c r="U285" s="544"/>
      <c r="V285" s="544"/>
      <c r="W285" s="544"/>
      <c r="X285" s="544"/>
      <c r="Y285" s="185"/>
    </row>
    <row r="286" spans="12:25" x14ac:dyDescent="0.35">
      <c r="L286" s="544"/>
      <c r="M286" s="544"/>
      <c r="N286" s="544"/>
      <c r="O286" s="544"/>
      <c r="P286" s="544"/>
      <c r="Q286" s="544"/>
      <c r="R286" s="544"/>
      <c r="S286" s="544">
        <v>284</v>
      </c>
      <c r="T286" s="544">
        <v>150</v>
      </c>
      <c r="U286" s="544"/>
      <c r="V286" s="544"/>
      <c r="W286" s="544"/>
      <c r="X286" s="544"/>
      <c r="Y286" s="185"/>
    </row>
    <row r="287" spans="12:25" x14ac:dyDescent="0.35">
      <c r="L287" s="544"/>
      <c r="M287" s="544"/>
      <c r="N287" s="544"/>
      <c r="O287" s="544"/>
      <c r="P287" s="544"/>
      <c r="Q287" s="544"/>
      <c r="R287" s="544"/>
      <c r="S287" s="544">
        <v>285</v>
      </c>
      <c r="T287" s="544">
        <v>150</v>
      </c>
      <c r="U287" s="544"/>
      <c r="V287" s="544"/>
      <c r="W287" s="544"/>
      <c r="X287" s="544"/>
      <c r="Y287" s="185"/>
    </row>
    <row r="288" spans="12:25" x14ac:dyDescent="0.35">
      <c r="L288" s="544"/>
      <c r="M288" s="544"/>
      <c r="N288" s="544"/>
      <c r="O288" s="544"/>
      <c r="P288" s="544"/>
      <c r="Q288" s="544"/>
      <c r="R288" s="544"/>
      <c r="S288" s="544">
        <v>286</v>
      </c>
      <c r="T288" s="544">
        <v>150</v>
      </c>
      <c r="U288" s="544"/>
      <c r="V288" s="544"/>
      <c r="W288" s="544"/>
      <c r="X288" s="544"/>
      <c r="Y288" s="185"/>
    </row>
    <row r="289" spans="12:25" x14ac:dyDescent="0.35">
      <c r="L289" s="544"/>
      <c r="M289" s="544"/>
      <c r="N289" s="544"/>
      <c r="O289" s="544"/>
      <c r="P289" s="544"/>
      <c r="Q289" s="544"/>
      <c r="R289" s="544"/>
      <c r="S289" s="544">
        <v>287</v>
      </c>
      <c r="T289" s="544">
        <v>150</v>
      </c>
      <c r="U289" s="544"/>
      <c r="V289" s="544"/>
      <c r="W289" s="544"/>
      <c r="X289" s="544"/>
      <c r="Y289" s="185"/>
    </row>
    <row r="290" spans="12:25" x14ac:dyDescent="0.35">
      <c r="L290" s="544"/>
      <c r="M290" s="544"/>
      <c r="N290" s="544"/>
      <c r="O290" s="544"/>
      <c r="P290" s="544"/>
      <c r="Q290" s="544"/>
      <c r="R290" s="544"/>
      <c r="S290" s="544">
        <v>288</v>
      </c>
      <c r="T290" s="544">
        <v>150</v>
      </c>
      <c r="U290" s="544"/>
      <c r="V290" s="544"/>
      <c r="W290" s="544"/>
      <c r="X290" s="544"/>
      <c r="Y290" s="185"/>
    </row>
    <row r="291" spans="12:25" x14ac:dyDescent="0.35">
      <c r="L291" s="544"/>
      <c r="M291" s="544"/>
      <c r="N291" s="544"/>
      <c r="O291" s="544"/>
      <c r="P291" s="544"/>
      <c r="Q291" s="544"/>
      <c r="R291" s="544"/>
      <c r="S291" s="544">
        <v>289</v>
      </c>
      <c r="T291" s="544">
        <v>150</v>
      </c>
      <c r="U291" s="544"/>
      <c r="V291" s="544"/>
      <c r="W291" s="544"/>
      <c r="X291" s="544"/>
      <c r="Y291" s="185"/>
    </row>
    <row r="292" spans="12:25" x14ac:dyDescent="0.35">
      <c r="L292" s="544"/>
      <c r="M292" s="544"/>
      <c r="N292" s="544"/>
      <c r="O292" s="544"/>
      <c r="P292" s="544"/>
      <c r="Q292" s="544"/>
      <c r="R292" s="544"/>
      <c r="S292" s="544">
        <v>290</v>
      </c>
      <c r="T292" s="544">
        <v>150</v>
      </c>
      <c r="U292" s="544"/>
      <c r="V292" s="544"/>
      <c r="W292" s="544"/>
      <c r="X292" s="544"/>
      <c r="Y292" s="185"/>
    </row>
    <row r="293" spans="12:25" x14ac:dyDescent="0.35">
      <c r="L293" s="544"/>
      <c r="M293" s="544"/>
      <c r="N293" s="544"/>
      <c r="O293" s="544"/>
      <c r="P293" s="544"/>
      <c r="Q293" s="544"/>
      <c r="R293" s="544"/>
      <c r="S293" s="544">
        <v>291</v>
      </c>
      <c r="T293" s="544">
        <v>150</v>
      </c>
      <c r="U293" s="544"/>
      <c r="V293" s="544"/>
      <c r="W293" s="544"/>
      <c r="X293" s="544"/>
      <c r="Y293" s="185"/>
    </row>
    <row r="294" spans="12:25" x14ac:dyDescent="0.35">
      <c r="L294" s="544"/>
      <c r="M294" s="544"/>
      <c r="N294" s="544"/>
      <c r="O294" s="544"/>
      <c r="P294" s="544"/>
      <c r="Q294" s="544"/>
      <c r="R294" s="544"/>
      <c r="S294" s="544">
        <v>292</v>
      </c>
      <c r="T294" s="544">
        <v>150</v>
      </c>
      <c r="U294" s="544"/>
      <c r="V294" s="544"/>
      <c r="W294" s="544"/>
      <c r="X294" s="544"/>
      <c r="Y294" s="185"/>
    </row>
    <row r="295" spans="12:25" x14ac:dyDescent="0.35">
      <c r="L295" s="544"/>
      <c r="M295" s="544"/>
      <c r="N295" s="544"/>
      <c r="O295" s="544"/>
      <c r="P295" s="544"/>
      <c r="Q295" s="544"/>
      <c r="R295" s="544"/>
      <c r="S295" s="544">
        <v>293</v>
      </c>
      <c r="T295" s="544">
        <v>150</v>
      </c>
      <c r="U295" s="544"/>
      <c r="V295" s="544"/>
      <c r="W295" s="544"/>
      <c r="X295" s="544"/>
      <c r="Y295" s="185"/>
    </row>
    <row r="296" spans="12:25" x14ac:dyDescent="0.35">
      <c r="L296" s="544"/>
      <c r="M296" s="544"/>
      <c r="N296" s="544"/>
      <c r="O296" s="544"/>
      <c r="P296" s="544"/>
      <c r="Q296" s="544"/>
      <c r="R296" s="544"/>
      <c r="S296" s="544">
        <v>294</v>
      </c>
      <c r="T296" s="544">
        <v>150</v>
      </c>
      <c r="U296" s="544"/>
      <c r="V296" s="544"/>
      <c r="W296" s="544"/>
      <c r="X296" s="544"/>
      <c r="Y296" s="185"/>
    </row>
    <row r="297" spans="12:25" x14ac:dyDescent="0.35">
      <c r="L297" s="544"/>
      <c r="M297" s="544"/>
      <c r="N297" s="544"/>
      <c r="O297" s="544"/>
      <c r="P297" s="544"/>
      <c r="Q297" s="544"/>
      <c r="R297" s="544"/>
      <c r="S297" s="544">
        <v>295</v>
      </c>
      <c r="T297" s="544">
        <v>150</v>
      </c>
      <c r="U297" s="544"/>
      <c r="V297" s="544"/>
      <c r="W297" s="544"/>
      <c r="X297" s="544"/>
      <c r="Y297" s="185"/>
    </row>
    <row r="298" spans="12:25" x14ac:dyDescent="0.35">
      <c r="L298" s="544"/>
      <c r="M298" s="544"/>
      <c r="N298" s="544"/>
      <c r="O298" s="544"/>
      <c r="P298" s="544"/>
      <c r="Q298" s="544"/>
      <c r="R298" s="544"/>
      <c r="S298" s="544">
        <v>296</v>
      </c>
      <c r="T298" s="544">
        <v>150</v>
      </c>
      <c r="U298" s="544"/>
      <c r="V298" s="544"/>
      <c r="W298" s="544"/>
      <c r="X298" s="544"/>
      <c r="Y298" s="185"/>
    </row>
    <row r="299" spans="12:25" x14ac:dyDescent="0.35">
      <c r="L299" s="544"/>
      <c r="M299" s="544"/>
      <c r="N299" s="544"/>
      <c r="O299" s="544"/>
      <c r="P299" s="544"/>
      <c r="Q299" s="544"/>
      <c r="R299" s="544"/>
      <c r="S299" s="544">
        <v>297</v>
      </c>
      <c r="T299" s="544">
        <v>150</v>
      </c>
      <c r="U299" s="544"/>
      <c r="V299" s="544"/>
      <c r="W299" s="544"/>
      <c r="X299" s="544"/>
      <c r="Y299" s="185"/>
    </row>
    <row r="300" spans="12:25" x14ac:dyDescent="0.35">
      <c r="L300" s="544"/>
      <c r="M300" s="544"/>
      <c r="N300" s="544"/>
      <c r="O300" s="544"/>
      <c r="P300" s="544"/>
      <c r="Q300" s="544"/>
      <c r="R300" s="544"/>
      <c r="S300" s="544">
        <v>298</v>
      </c>
      <c r="T300" s="544">
        <v>150</v>
      </c>
      <c r="U300" s="544"/>
      <c r="V300" s="544"/>
      <c r="W300" s="544"/>
      <c r="X300" s="544"/>
      <c r="Y300" s="185"/>
    </row>
    <row r="301" spans="12:25" x14ac:dyDescent="0.35">
      <c r="L301" s="544"/>
      <c r="M301" s="544"/>
      <c r="N301" s="544"/>
      <c r="O301" s="544"/>
      <c r="P301" s="544"/>
      <c r="Q301" s="544"/>
      <c r="R301" s="544"/>
      <c r="S301" s="544">
        <v>299</v>
      </c>
      <c r="T301" s="544">
        <v>150</v>
      </c>
      <c r="U301" s="544"/>
      <c r="V301" s="544"/>
      <c r="W301" s="544"/>
      <c r="X301" s="544"/>
      <c r="Y301" s="185"/>
    </row>
    <row r="302" spans="12:25" x14ac:dyDescent="0.35">
      <c r="L302" s="544"/>
      <c r="M302" s="544"/>
      <c r="N302" s="544"/>
      <c r="O302" s="544"/>
      <c r="P302" s="544"/>
      <c r="Q302" s="544"/>
      <c r="R302" s="544"/>
      <c r="S302" s="544">
        <v>300</v>
      </c>
      <c r="T302" s="544">
        <v>150</v>
      </c>
      <c r="U302" s="544">
        <v>300</v>
      </c>
      <c r="V302" s="544"/>
      <c r="W302" s="544"/>
      <c r="X302" s="544"/>
      <c r="Y302" s="185"/>
    </row>
    <row r="303" spans="12:25" x14ac:dyDescent="0.35">
      <c r="L303" s="544"/>
      <c r="M303" s="544"/>
      <c r="N303" s="544"/>
      <c r="O303" s="544"/>
      <c r="P303" s="544"/>
      <c r="Q303" s="544"/>
      <c r="R303" s="544"/>
      <c r="S303" s="544">
        <v>301</v>
      </c>
      <c r="T303" s="544">
        <v>150</v>
      </c>
      <c r="U303" s="544"/>
      <c r="V303" s="544"/>
      <c r="W303" s="544"/>
      <c r="X303" s="544"/>
      <c r="Y303" s="185"/>
    </row>
    <row r="304" spans="12:25" x14ac:dyDescent="0.35">
      <c r="L304" s="544"/>
      <c r="M304" s="544"/>
      <c r="N304" s="544"/>
      <c r="O304" s="544"/>
      <c r="P304" s="544"/>
      <c r="Q304" s="544"/>
      <c r="R304" s="544"/>
      <c r="S304" s="544">
        <v>302</v>
      </c>
      <c r="T304" s="544">
        <v>150</v>
      </c>
      <c r="U304" s="544"/>
      <c r="V304" s="544"/>
      <c r="W304" s="544"/>
      <c r="X304" s="544"/>
      <c r="Y304" s="185"/>
    </row>
    <row r="305" spans="12:25" x14ac:dyDescent="0.35">
      <c r="L305" s="544"/>
      <c r="M305" s="544"/>
      <c r="N305" s="544"/>
      <c r="O305" s="544"/>
      <c r="P305" s="544"/>
      <c r="Q305" s="544"/>
      <c r="R305" s="544"/>
      <c r="S305" s="544">
        <v>303</v>
      </c>
      <c r="T305" s="544">
        <v>150</v>
      </c>
      <c r="U305" s="544"/>
      <c r="V305" s="544"/>
      <c r="W305" s="544"/>
      <c r="X305" s="544"/>
      <c r="Y305" s="185"/>
    </row>
    <row r="306" spans="12:25" x14ac:dyDescent="0.35">
      <c r="L306" s="544"/>
      <c r="M306" s="544"/>
      <c r="N306" s="544"/>
      <c r="O306" s="544"/>
      <c r="P306" s="544"/>
      <c r="Q306" s="544"/>
      <c r="R306" s="544"/>
      <c r="S306" s="544">
        <v>304</v>
      </c>
      <c r="T306" s="544">
        <v>150</v>
      </c>
      <c r="U306" s="544"/>
      <c r="V306" s="544"/>
      <c r="W306" s="544"/>
      <c r="X306" s="544"/>
      <c r="Y306" s="185"/>
    </row>
    <row r="307" spans="12:25" x14ac:dyDescent="0.35">
      <c r="L307" s="544"/>
      <c r="M307" s="544"/>
      <c r="N307" s="544"/>
      <c r="O307" s="544"/>
      <c r="P307" s="544"/>
      <c r="Q307" s="544"/>
      <c r="R307" s="544"/>
      <c r="S307" s="544">
        <v>305</v>
      </c>
      <c r="T307" s="544">
        <v>150</v>
      </c>
      <c r="U307" s="544"/>
      <c r="V307" s="544"/>
      <c r="W307" s="544"/>
      <c r="X307" s="544"/>
      <c r="Y307" s="185"/>
    </row>
    <row r="308" spans="12:25" x14ac:dyDescent="0.35">
      <c r="L308" s="544"/>
      <c r="M308" s="544"/>
      <c r="N308" s="544"/>
      <c r="O308" s="544"/>
      <c r="P308" s="544"/>
      <c r="Q308" s="544"/>
      <c r="R308" s="544"/>
      <c r="S308" s="544">
        <v>306</v>
      </c>
      <c r="T308" s="544">
        <v>150</v>
      </c>
      <c r="U308" s="544"/>
      <c r="V308" s="544"/>
      <c r="W308" s="544"/>
      <c r="X308" s="544"/>
      <c r="Y308" s="185"/>
    </row>
    <row r="309" spans="12:25" x14ac:dyDescent="0.35">
      <c r="L309" s="544"/>
      <c r="M309" s="544"/>
      <c r="N309" s="544"/>
      <c r="O309" s="544"/>
      <c r="P309" s="544"/>
      <c r="Q309" s="544"/>
      <c r="R309" s="544"/>
      <c r="S309" s="544">
        <v>307</v>
      </c>
      <c r="T309" s="544">
        <v>150</v>
      </c>
      <c r="U309" s="544"/>
      <c r="V309" s="544"/>
      <c r="W309" s="544"/>
      <c r="X309" s="544"/>
      <c r="Y309" s="185"/>
    </row>
    <row r="310" spans="12:25" x14ac:dyDescent="0.35">
      <c r="L310" s="544"/>
      <c r="M310" s="544"/>
      <c r="N310" s="544"/>
      <c r="O310" s="544"/>
      <c r="P310" s="544"/>
      <c r="Q310" s="544"/>
      <c r="R310" s="544"/>
      <c r="S310" s="544">
        <v>308</v>
      </c>
      <c r="T310" s="544">
        <v>150</v>
      </c>
      <c r="U310" s="544"/>
      <c r="V310" s="544"/>
      <c r="W310" s="544"/>
      <c r="X310" s="544"/>
      <c r="Y310" s="185"/>
    </row>
    <row r="311" spans="12:25" x14ac:dyDescent="0.35">
      <c r="L311" s="544"/>
      <c r="M311" s="544"/>
      <c r="N311" s="544"/>
      <c r="O311" s="544"/>
      <c r="P311" s="544"/>
      <c r="Q311" s="544"/>
      <c r="R311" s="544"/>
      <c r="S311" s="544">
        <v>309</v>
      </c>
      <c r="T311" s="544">
        <v>150</v>
      </c>
      <c r="U311" s="544"/>
      <c r="V311" s="544"/>
      <c r="W311" s="544"/>
      <c r="X311" s="544"/>
      <c r="Y311" s="185"/>
    </row>
    <row r="312" spans="12:25" x14ac:dyDescent="0.35">
      <c r="L312" s="544"/>
      <c r="M312" s="544"/>
      <c r="N312" s="544"/>
      <c r="O312" s="544"/>
      <c r="P312" s="544"/>
      <c r="Q312" s="544"/>
      <c r="R312" s="544"/>
      <c r="S312" s="544">
        <v>310</v>
      </c>
      <c r="T312" s="544">
        <v>150</v>
      </c>
      <c r="U312" s="544"/>
      <c r="V312" s="544"/>
      <c r="W312" s="544"/>
      <c r="X312" s="544"/>
      <c r="Y312" s="185"/>
    </row>
    <row r="313" spans="12:25" x14ac:dyDescent="0.35">
      <c r="L313" s="544"/>
      <c r="M313" s="544"/>
      <c r="N313" s="544"/>
      <c r="O313" s="544"/>
      <c r="P313" s="544"/>
      <c r="Q313" s="544"/>
      <c r="R313" s="544"/>
      <c r="S313" s="544">
        <v>311</v>
      </c>
      <c r="T313" s="544">
        <v>150</v>
      </c>
      <c r="U313" s="544"/>
      <c r="V313" s="544"/>
      <c r="W313" s="544"/>
      <c r="X313" s="544"/>
      <c r="Y313" s="185"/>
    </row>
    <row r="314" spans="12:25" x14ac:dyDescent="0.35">
      <c r="L314" s="544"/>
      <c r="M314" s="544"/>
      <c r="N314" s="544"/>
      <c r="O314" s="544"/>
      <c r="P314" s="544"/>
      <c r="Q314" s="544"/>
      <c r="R314" s="544"/>
      <c r="S314" s="544">
        <v>312</v>
      </c>
      <c r="T314" s="544">
        <v>150</v>
      </c>
      <c r="U314" s="544"/>
      <c r="V314" s="544"/>
      <c r="W314" s="544"/>
      <c r="X314" s="544"/>
      <c r="Y314" s="185"/>
    </row>
    <row r="315" spans="12:25" x14ac:dyDescent="0.35">
      <c r="L315" s="544"/>
      <c r="M315" s="544"/>
      <c r="N315" s="544"/>
      <c r="O315" s="544"/>
      <c r="P315" s="544"/>
      <c r="Q315" s="544"/>
      <c r="R315" s="544"/>
      <c r="S315" s="544">
        <v>313</v>
      </c>
      <c r="T315" s="544">
        <v>150</v>
      </c>
      <c r="U315" s="544"/>
      <c r="V315" s="544"/>
      <c r="W315" s="544"/>
      <c r="X315" s="544"/>
      <c r="Y315" s="185"/>
    </row>
    <row r="316" spans="12:25" x14ac:dyDescent="0.35">
      <c r="L316" s="544"/>
      <c r="M316" s="544"/>
      <c r="N316" s="544"/>
      <c r="O316" s="544"/>
      <c r="P316" s="544"/>
      <c r="Q316" s="544"/>
      <c r="R316" s="544"/>
      <c r="S316" s="544">
        <v>314</v>
      </c>
      <c r="T316" s="544">
        <v>150</v>
      </c>
      <c r="U316" s="544"/>
      <c r="V316" s="544"/>
      <c r="W316" s="544"/>
      <c r="X316" s="544"/>
      <c r="Y316" s="185"/>
    </row>
    <row r="317" spans="12:25" x14ac:dyDescent="0.35">
      <c r="L317" s="544"/>
      <c r="M317" s="544"/>
      <c r="N317" s="544"/>
      <c r="O317" s="544"/>
      <c r="P317" s="544"/>
      <c r="Q317" s="544"/>
      <c r="R317" s="544"/>
      <c r="S317" s="544">
        <v>315</v>
      </c>
      <c r="T317" s="544">
        <v>150</v>
      </c>
      <c r="U317" s="544"/>
      <c r="V317" s="544"/>
      <c r="W317" s="544"/>
      <c r="X317" s="544"/>
      <c r="Y317" s="185"/>
    </row>
    <row r="318" spans="12:25" x14ac:dyDescent="0.35">
      <c r="L318" s="544"/>
      <c r="M318" s="544"/>
      <c r="N318" s="544"/>
      <c r="O318" s="544"/>
      <c r="P318" s="544"/>
      <c r="Q318" s="544"/>
      <c r="R318" s="544"/>
      <c r="S318" s="544">
        <v>316</v>
      </c>
      <c r="T318" s="544">
        <v>150</v>
      </c>
      <c r="U318" s="544"/>
      <c r="V318" s="544"/>
      <c r="W318" s="544"/>
      <c r="X318" s="544"/>
      <c r="Y318" s="185"/>
    </row>
    <row r="319" spans="12:25" x14ac:dyDescent="0.35">
      <c r="L319" s="544"/>
      <c r="M319" s="544"/>
      <c r="N319" s="544"/>
      <c r="O319" s="544"/>
      <c r="P319" s="544"/>
      <c r="Q319" s="544"/>
      <c r="R319" s="544"/>
      <c r="S319" s="544">
        <v>317</v>
      </c>
      <c r="T319" s="544">
        <v>150</v>
      </c>
      <c r="U319" s="544"/>
      <c r="V319" s="544"/>
      <c r="W319" s="544"/>
      <c r="X319" s="544"/>
      <c r="Y319" s="185"/>
    </row>
    <row r="320" spans="12:25" x14ac:dyDescent="0.35">
      <c r="L320" s="544"/>
      <c r="M320" s="544"/>
      <c r="N320" s="544"/>
      <c r="O320" s="544"/>
      <c r="P320" s="544"/>
      <c r="Q320" s="544"/>
      <c r="R320" s="544"/>
      <c r="S320" s="544">
        <v>318</v>
      </c>
      <c r="T320" s="544">
        <v>150</v>
      </c>
      <c r="U320" s="544"/>
      <c r="V320" s="544"/>
      <c r="W320" s="544"/>
      <c r="X320" s="544"/>
      <c r="Y320" s="185"/>
    </row>
    <row r="321" spans="12:25" x14ac:dyDescent="0.35">
      <c r="L321" s="544"/>
      <c r="M321" s="544"/>
      <c r="N321" s="544"/>
      <c r="O321" s="544"/>
      <c r="P321" s="544"/>
      <c r="Q321" s="544"/>
      <c r="R321" s="544"/>
      <c r="S321" s="544">
        <v>319</v>
      </c>
      <c r="T321" s="544">
        <v>150</v>
      </c>
      <c r="U321" s="544"/>
      <c r="V321" s="544"/>
      <c r="W321" s="544"/>
      <c r="X321" s="544"/>
      <c r="Y321" s="185"/>
    </row>
    <row r="322" spans="12:25" x14ac:dyDescent="0.35">
      <c r="L322" s="544"/>
      <c r="M322" s="544"/>
      <c r="N322" s="544"/>
      <c r="O322" s="544"/>
      <c r="P322" s="544"/>
      <c r="Q322" s="544"/>
      <c r="R322" s="544"/>
      <c r="S322" s="544">
        <v>320</v>
      </c>
      <c r="T322" s="544">
        <v>150</v>
      </c>
      <c r="U322" s="544"/>
      <c r="V322" s="544"/>
      <c r="W322" s="544"/>
      <c r="X322" s="544"/>
      <c r="Y322" s="185"/>
    </row>
    <row r="323" spans="12:25" x14ac:dyDescent="0.35">
      <c r="L323" s="544"/>
      <c r="M323" s="544"/>
      <c r="N323" s="544"/>
      <c r="O323" s="544"/>
      <c r="P323" s="544"/>
      <c r="Q323" s="544"/>
      <c r="R323" s="544"/>
      <c r="S323" s="544">
        <v>321</v>
      </c>
      <c r="T323" s="544">
        <v>150</v>
      </c>
      <c r="U323" s="544"/>
      <c r="V323" s="544"/>
      <c r="W323" s="544"/>
      <c r="X323" s="544"/>
      <c r="Y323" s="185"/>
    </row>
    <row r="324" spans="12:25" x14ac:dyDescent="0.35">
      <c r="L324" s="544"/>
      <c r="M324" s="544"/>
      <c r="N324" s="544"/>
      <c r="O324" s="544"/>
      <c r="P324" s="544"/>
      <c r="Q324" s="544"/>
      <c r="R324" s="544"/>
      <c r="S324" s="544">
        <v>322</v>
      </c>
      <c r="T324" s="544">
        <v>150</v>
      </c>
      <c r="U324" s="544"/>
      <c r="V324" s="544"/>
      <c r="W324" s="544"/>
      <c r="X324" s="544"/>
      <c r="Y324" s="185"/>
    </row>
    <row r="325" spans="12:25" x14ac:dyDescent="0.35">
      <c r="L325" s="544"/>
      <c r="M325" s="544"/>
      <c r="N325" s="544"/>
      <c r="O325" s="544"/>
      <c r="P325" s="544"/>
      <c r="Q325" s="544"/>
      <c r="R325" s="544"/>
      <c r="S325" s="544">
        <v>323</v>
      </c>
      <c r="T325" s="544">
        <v>150</v>
      </c>
      <c r="U325" s="544"/>
      <c r="V325" s="544"/>
      <c r="W325" s="544"/>
      <c r="X325" s="544"/>
      <c r="Y325" s="185"/>
    </row>
    <row r="326" spans="12:25" x14ac:dyDescent="0.35">
      <c r="L326" s="544"/>
      <c r="M326" s="544"/>
      <c r="N326" s="544"/>
      <c r="O326" s="544"/>
      <c r="P326" s="544"/>
      <c r="Q326" s="544"/>
      <c r="R326" s="544"/>
      <c r="S326" s="544">
        <v>324</v>
      </c>
      <c r="T326" s="544">
        <v>150</v>
      </c>
      <c r="U326" s="544"/>
      <c r="V326" s="544"/>
      <c r="W326" s="544"/>
      <c r="X326" s="544"/>
      <c r="Y326" s="185"/>
    </row>
    <row r="327" spans="12:25" x14ac:dyDescent="0.35">
      <c r="L327" s="544"/>
      <c r="M327" s="544"/>
      <c r="N327" s="544"/>
      <c r="O327" s="544"/>
      <c r="P327" s="544"/>
      <c r="Q327" s="544"/>
      <c r="R327" s="544"/>
      <c r="S327" s="544">
        <v>325</v>
      </c>
      <c r="T327" s="544">
        <v>150</v>
      </c>
      <c r="U327" s="544"/>
      <c r="V327" s="544"/>
      <c r="W327" s="544"/>
      <c r="X327" s="544"/>
      <c r="Y327" s="185"/>
    </row>
    <row r="328" spans="12:25" x14ac:dyDescent="0.35">
      <c r="L328" s="544"/>
      <c r="M328" s="544"/>
      <c r="N328" s="544"/>
      <c r="O328" s="544"/>
      <c r="P328" s="544"/>
      <c r="Q328" s="544"/>
      <c r="R328" s="544"/>
      <c r="S328" s="544">
        <v>326</v>
      </c>
      <c r="T328" s="544">
        <v>150</v>
      </c>
      <c r="U328" s="544"/>
      <c r="V328" s="544"/>
      <c r="W328" s="544"/>
      <c r="X328" s="544"/>
      <c r="Y328" s="185"/>
    </row>
    <row r="329" spans="12:25" x14ac:dyDescent="0.35">
      <c r="L329" s="544"/>
      <c r="M329" s="544"/>
      <c r="N329" s="544"/>
      <c r="O329" s="544"/>
      <c r="P329" s="544"/>
      <c r="Q329" s="544"/>
      <c r="R329" s="544"/>
      <c r="S329" s="544">
        <v>327</v>
      </c>
      <c r="T329" s="544">
        <v>150</v>
      </c>
      <c r="U329" s="544"/>
      <c r="V329" s="544"/>
      <c r="W329" s="544"/>
      <c r="X329" s="544"/>
      <c r="Y329" s="185"/>
    </row>
    <row r="330" spans="12:25" x14ac:dyDescent="0.35">
      <c r="L330" s="544"/>
      <c r="M330" s="544"/>
      <c r="N330" s="544"/>
      <c r="O330" s="544"/>
      <c r="P330" s="544"/>
      <c r="Q330" s="544"/>
      <c r="R330" s="544"/>
      <c r="S330" s="544">
        <v>328</v>
      </c>
      <c r="T330" s="544">
        <v>150</v>
      </c>
      <c r="U330" s="544"/>
      <c r="V330" s="544"/>
      <c r="W330" s="544"/>
      <c r="X330" s="544"/>
      <c r="Y330" s="185"/>
    </row>
    <row r="331" spans="12:25" x14ac:dyDescent="0.35">
      <c r="L331" s="544"/>
      <c r="M331" s="544"/>
      <c r="N331" s="544"/>
      <c r="O331" s="544"/>
      <c r="P331" s="544"/>
      <c r="Q331" s="544"/>
      <c r="R331" s="544"/>
      <c r="S331" s="544">
        <v>329</v>
      </c>
      <c r="T331" s="544">
        <v>150</v>
      </c>
      <c r="U331" s="544"/>
      <c r="V331" s="544"/>
      <c r="W331" s="544"/>
      <c r="X331" s="544"/>
      <c r="Y331" s="185"/>
    </row>
    <row r="332" spans="12:25" x14ac:dyDescent="0.35">
      <c r="L332" s="544"/>
      <c r="M332" s="544"/>
      <c r="N332" s="544"/>
      <c r="O332" s="544"/>
      <c r="P332" s="544"/>
      <c r="Q332" s="544"/>
      <c r="R332" s="544"/>
      <c r="S332" s="544">
        <v>330</v>
      </c>
      <c r="T332" s="544">
        <v>150</v>
      </c>
      <c r="U332" s="544"/>
      <c r="V332" s="544"/>
      <c r="W332" s="544"/>
      <c r="X332" s="544"/>
      <c r="Y332" s="185"/>
    </row>
    <row r="333" spans="12:25" x14ac:dyDescent="0.35">
      <c r="L333" s="544"/>
      <c r="M333" s="544"/>
      <c r="N333" s="544"/>
      <c r="O333" s="544"/>
      <c r="P333" s="544"/>
      <c r="Q333" s="544"/>
      <c r="R333" s="544"/>
      <c r="S333" s="544">
        <v>331</v>
      </c>
      <c r="T333" s="544">
        <v>150</v>
      </c>
      <c r="U333" s="544"/>
      <c r="V333" s="544"/>
      <c r="W333" s="544"/>
      <c r="X333" s="544"/>
      <c r="Y333" s="185"/>
    </row>
    <row r="334" spans="12:25" x14ac:dyDescent="0.35">
      <c r="L334" s="544"/>
      <c r="M334" s="544"/>
      <c r="N334" s="544"/>
      <c r="O334" s="544"/>
      <c r="P334" s="544"/>
      <c r="Q334" s="544"/>
      <c r="R334" s="544"/>
      <c r="S334" s="544">
        <v>332</v>
      </c>
      <c r="T334" s="544">
        <v>150</v>
      </c>
      <c r="U334" s="544"/>
      <c r="V334" s="544"/>
      <c r="W334" s="544"/>
      <c r="X334" s="544"/>
      <c r="Y334" s="185"/>
    </row>
    <row r="335" spans="12:25" x14ac:dyDescent="0.35">
      <c r="L335" s="544"/>
      <c r="M335" s="544"/>
      <c r="N335" s="544"/>
      <c r="O335" s="544"/>
      <c r="P335" s="544"/>
      <c r="Q335" s="544"/>
      <c r="R335" s="544"/>
      <c r="S335" s="544">
        <v>333</v>
      </c>
      <c r="T335" s="544">
        <v>150</v>
      </c>
      <c r="U335" s="544"/>
      <c r="V335" s="544"/>
      <c r="W335" s="544"/>
      <c r="X335" s="544"/>
      <c r="Y335" s="185"/>
    </row>
    <row r="336" spans="12:25" x14ac:dyDescent="0.35">
      <c r="L336" s="544"/>
      <c r="M336" s="544"/>
      <c r="N336" s="544"/>
      <c r="O336" s="544"/>
      <c r="P336" s="544"/>
      <c r="Q336" s="544"/>
      <c r="R336" s="544"/>
      <c r="S336" s="544">
        <v>334</v>
      </c>
      <c r="T336" s="544">
        <v>150</v>
      </c>
      <c r="U336" s="544"/>
      <c r="V336" s="544"/>
      <c r="W336" s="544"/>
      <c r="X336" s="544"/>
      <c r="Y336" s="185"/>
    </row>
    <row r="337" spans="12:25" x14ac:dyDescent="0.35">
      <c r="L337" s="544"/>
      <c r="M337" s="544"/>
      <c r="N337" s="544"/>
      <c r="O337" s="544"/>
      <c r="P337" s="544"/>
      <c r="Q337" s="544"/>
      <c r="R337" s="544"/>
      <c r="S337" s="544">
        <v>335</v>
      </c>
      <c r="T337" s="544">
        <v>150</v>
      </c>
      <c r="U337" s="544"/>
      <c r="V337" s="544"/>
      <c r="W337" s="544"/>
      <c r="X337" s="544"/>
      <c r="Y337" s="185"/>
    </row>
    <row r="338" spans="12:25" x14ac:dyDescent="0.35">
      <c r="L338" s="544"/>
      <c r="M338" s="544"/>
      <c r="N338" s="544"/>
      <c r="O338" s="544"/>
      <c r="P338" s="544"/>
      <c r="Q338" s="544"/>
      <c r="R338" s="544"/>
      <c r="S338" s="544">
        <v>336</v>
      </c>
      <c r="T338" s="544">
        <v>150</v>
      </c>
      <c r="U338" s="544"/>
      <c r="V338" s="544"/>
      <c r="W338" s="544"/>
      <c r="X338" s="544"/>
      <c r="Y338" s="185"/>
    </row>
    <row r="339" spans="12:25" x14ac:dyDescent="0.35">
      <c r="L339" s="544"/>
      <c r="M339" s="544"/>
      <c r="N339" s="544"/>
      <c r="O339" s="544"/>
      <c r="P339" s="544"/>
      <c r="Q339" s="544"/>
      <c r="R339" s="544"/>
      <c r="S339" s="544">
        <v>337</v>
      </c>
      <c r="T339" s="544">
        <v>150</v>
      </c>
      <c r="U339" s="544"/>
      <c r="V339" s="544"/>
      <c r="W339" s="544"/>
      <c r="X339" s="544"/>
      <c r="Y339" s="185"/>
    </row>
    <row r="340" spans="12:25" x14ac:dyDescent="0.35">
      <c r="L340" s="544"/>
      <c r="M340" s="544"/>
      <c r="N340" s="544"/>
      <c r="O340" s="544"/>
      <c r="P340" s="544"/>
      <c r="Q340" s="544"/>
      <c r="R340" s="544"/>
      <c r="S340" s="544">
        <v>338</v>
      </c>
      <c r="T340" s="544">
        <v>150</v>
      </c>
      <c r="U340" s="544"/>
      <c r="V340" s="544"/>
      <c r="W340" s="544"/>
      <c r="X340" s="544"/>
      <c r="Y340" s="185"/>
    </row>
    <row r="341" spans="12:25" x14ac:dyDescent="0.35">
      <c r="L341" s="544"/>
      <c r="M341" s="544"/>
      <c r="N341" s="544"/>
      <c r="O341" s="544"/>
      <c r="P341" s="544"/>
      <c r="Q341" s="544"/>
      <c r="R341" s="544"/>
      <c r="S341" s="544">
        <v>339</v>
      </c>
      <c r="T341" s="544">
        <v>150</v>
      </c>
      <c r="U341" s="544"/>
      <c r="V341" s="544"/>
      <c r="W341" s="544"/>
      <c r="X341" s="544"/>
      <c r="Y341" s="185"/>
    </row>
    <row r="342" spans="12:25" x14ac:dyDescent="0.35">
      <c r="L342" s="544"/>
      <c r="M342" s="544"/>
      <c r="N342" s="544"/>
      <c r="O342" s="544"/>
      <c r="P342" s="544"/>
      <c r="Q342" s="544"/>
      <c r="R342" s="544"/>
      <c r="S342" s="544">
        <v>340</v>
      </c>
      <c r="T342" s="544">
        <v>150</v>
      </c>
      <c r="U342" s="544"/>
      <c r="V342" s="544"/>
      <c r="W342" s="544"/>
      <c r="X342" s="544"/>
      <c r="Y342" s="185"/>
    </row>
    <row r="343" spans="12:25" x14ac:dyDescent="0.35">
      <c r="L343" s="544"/>
      <c r="M343" s="544"/>
      <c r="N343" s="544"/>
      <c r="O343" s="544"/>
      <c r="P343" s="544"/>
      <c r="Q343" s="544"/>
      <c r="R343" s="544"/>
      <c r="S343" s="544">
        <v>341</v>
      </c>
      <c r="T343" s="544">
        <v>150</v>
      </c>
      <c r="U343" s="544"/>
      <c r="V343" s="544"/>
      <c r="W343" s="544"/>
      <c r="X343" s="544"/>
      <c r="Y343" s="185"/>
    </row>
    <row r="344" spans="12:25" x14ac:dyDescent="0.35">
      <c r="L344" s="544"/>
      <c r="M344" s="544"/>
      <c r="N344" s="544"/>
      <c r="O344" s="544"/>
      <c r="P344" s="544"/>
      <c r="Q344" s="544"/>
      <c r="R344" s="544"/>
      <c r="S344" s="544">
        <v>342</v>
      </c>
      <c r="T344" s="544">
        <v>150</v>
      </c>
      <c r="U344" s="544"/>
      <c r="V344" s="544"/>
      <c r="W344" s="544"/>
      <c r="X344" s="544"/>
      <c r="Y344" s="185"/>
    </row>
    <row r="345" spans="12:25" x14ac:dyDescent="0.35">
      <c r="L345" s="544"/>
      <c r="M345" s="544"/>
      <c r="N345" s="544"/>
      <c r="O345" s="544"/>
      <c r="P345" s="544"/>
      <c r="Q345" s="544"/>
      <c r="R345" s="544"/>
      <c r="S345" s="544">
        <v>343</v>
      </c>
      <c r="T345" s="544">
        <v>150</v>
      </c>
      <c r="U345" s="544"/>
      <c r="V345" s="544"/>
      <c r="W345" s="544"/>
      <c r="X345" s="544"/>
      <c r="Y345" s="185"/>
    </row>
    <row r="346" spans="12:25" x14ac:dyDescent="0.35">
      <c r="L346" s="544"/>
      <c r="M346" s="544"/>
      <c r="N346" s="544"/>
      <c r="O346" s="544"/>
      <c r="P346" s="544"/>
      <c r="Q346" s="544"/>
      <c r="R346" s="544"/>
      <c r="S346" s="544">
        <v>344</v>
      </c>
      <c r="T346" s="544">
        <v>150</v>
      </c>
      <c r="U346" s="544"/>
      <c r="V346" s="544"/>
      <c r="W346" s="544"/>
      <c r="X346" s="544"/>
      <c r="Y346" s="185"/>
    </row>
    <row r="347" spans="12:25" x14ac:dyDescent="0.35">
      <c r="L347" s="544"/>
      <c r="M347" s="544"/>
      <c r="N347" s="544"/>
      <c r="O347" s="544"/>
      <c r="P347" s="544"/>
      <c r="Q347" s="544"/>
      <c r="R347" s="544"/>
      <c r="S347" s="544">
        <v>345</v>
      </c>
      <c r="T347" s="544">
        <v>150</v>
      </c>
      <c r="U347" s="544"/>
      <c r="V347" s="544"/>
      <c r="W347" s="544"/>
      <c r="X347" s="544"/>
      <c r="Y347" s="185"/>
    </row>
    <row r="348" spans="12:25" x14ac:dyDescent="0.35">
      <c r="L348" s="544"/>
      <c r="M348" s="544"/>
      <c r="N348" s="544"/>
      <c r="O348" s="544"/>
      <c r="P348" s="544"/>
      <c r="Q348" s="544"/>
      <c r="R348" s="544"/>
      <c r="S348" s="544">
        <v>346</v>
      </c>
      <c r="T348" s="544">
        <v>150</v>
      </c>
      <c r="U348" s="544"/>
      <c r="V348" s="544"/>
      <c r="W348" s="544"/>
      <c r="X348" s="544"/>
      <c r="Y348" s="185"/>
    </row>
    <row r="349" spans="12:25" x14ac:dyDescent="0.35">
      <c r="L349" s="544"/>
      <c r="M349" s="544"/>
      <c r="N349" s="544"/>
      <c r="O349" s="544"/>
      <c r="P349" s="544"/>
      <c r="Q349" s="544"/>
      <c r="R349" s="544"/>
      <c r="S349" s="544">
        <v>347</v>
      </c>
      <c r="T349" s="544">
        <v>150</v>
      </c>
      <c r="U349" s="544"/>
      <c r="V349" s="544"/>
      <c r="W349" s="544"/>
      <c r="X349" s="544"/>
      <c r="Y349" s="185"/>
    </row>
    <row r="350" spans="12:25" x14ac:dyDescent="0.35">
      <c r="L350" s="544"/>
      <c r="M350" s="544"/>
      <c r="N350" s="544"/>
      <c r="O350" s="544"/>
      <c r="P350" s="544"/>
      <c r="Q350" s="544"/>
      <c r="R350" s="544"/>
      <c r="S350" s="544">
        <v>348</v>
      </c>
      <c r="T350" s="544">
        <v>150</v>
      </c>
      <c r="U350" s="544"/>
      <c r="V350" s="544"/>
      <c r="W350" s="544"/>
      <c r="X350" s="544"/>
      <c r="Y350" s="185"/>
    </row>
    <row r="351" spans="12:25" x14ac:dyDescent="0.35">
      <c r="L351" s="544"/>
      <c r="M351" s="544"/>
      <c r="N351" s="544"/>
      <c r="O351" s="544"/>
      <c r="P351" s="544"/>
      <c r="Q351" s="544"/>
      <c r="R351" s="544"/>
      <c r="S351" s="544">
        <v>349</v>
      </c>
      <c r="T351" s="544">
        <v>150</v>
      </c>
      <c r="U351" s="544"/>
      <c r="V351" s="544"/>
      <c r="W351" s="544"/>
      <c r="X351" s="544"/>
      <c r="Y351" s="185"/>
    </row>
    <row r="352" spans="12:25" x14ac:dyDescent="0.35">
      <c r="L352" s="544"/>
      <c r="M352" s="544"/>
      <c r="N352" s="544"/>
      <c r="O352" s="544"/>
      <c r="P352" s="544"/>
      <c r="Q352" s="544"/>
      <c r="R352" s="544"/>
      <c r="S352" s="544">
        <v>350</v>
      </c>
      <c r="T352" s="544">
        <v>150</v>
      </c>
      <c r="U352" s="544"/>
      <c r="V352" s="544"/>
      <c r="W352" s="544"/>
      <c r="X352" s="544"/>
      <c r="Y352" s="185"/>
    </row>
    <row r="353" spans="12:25" x14ac:dyDescent="0.35">
      <c r="L353" s="544"/>
      <c r="M353" s="544"/>
      <c r="N353" s="544"/>
      <c r="O353" s="544"/>
      <c r="P353" s="544"/>
      <c r="Q353" s="544"/>
      <c r="R353" s="544"/>
      <c r="S353" s="544">
        <v>351</v>
      </c>
      <c r="T353" s="544">
        <v>150</v>
      </c>
      <c r="U353" s="544"/>
      <c r="V353" s="544"/>
      <c r="W353" s="544"/>
      <c r="X353" s="544"/>
      <c r="Y353" s="185"/>
    </row>
    <row r="354" spans="12:25" x14ac:dyDescent="0.35">
      <c r="L354" s="544"/>
      <c r="M354" s="544"/>
      <c r="N354" s="544"/>
      <c r="O354" s="544"/>
      <c r="P354" s="544"/>
      <c r="Q354" s="544"/>
      <c r="R354" s="544"/>
      <c r="S354" s="544">
        <v>352</v>
      </c>
      <c r="T354" s="544">
        <v>150</v>
      </c>
      <c r="U354" s="544"/>
      <c r="V354" s="544"/>
      <c r="W354" s="544"/>
      <c r="X354" s="544"/>
      <c r="Y354" s="185"/>
    </row>
    <row r="355" spans="12:25" x14ac:dyDescent="0.35">
      <c r="L355" s="544"/>
      <c r="M355" s="544"/>
      <c r="N355" s="544"/>
      <c r="O355" s="544"/>
      <c r="P355" s="544"/>
      <c r="Q355" s="544"/>
      <c r="R355" s="544"/>
      <c r="S355" s="544">
        <v>353</v>
      </c>
      <c r="T355" s="544">
        <v>150</v>
      </c>
      <c r="U355" s="544"/>
      <c r="V355" s="544"/>
      <c r="W355" s="544"/>
      <c r="X355" s="544"/>
      <c r="Y355" s="185"/>
    </row>
    <row r="356" spans="12:25" x14ac:dyDescent="0.35">
      <c r="L356" s="544"/>
      <c r="M356" s="544"/>
      <c r="N356" s="544"/>
      <c r="O356" s="544"/>
      <c r="P356" s="544"/>
      <c r="Q356" s="544"/>
      <c r="R356" s="544"/>
      <c r="S356" s="544">
        <v>354</v>
      </c>
      <c r="T356" s="544">
        <v>150</v>
      </c>
      <c r="U356" s="544"/>
      <c r="V356" s="544"/>
      <c r="W356" s="544"/>
      <c r="X356" s="544"/>
      <c r="Y356" s="185"/>
    </row>
    <row r="357" spans="12:25" x14ac:dyDescent="0.35">
      <c r="L357" s="544"/>
      <c r="M357" s="544"/>
      <c r="N357" s="544"/>
      <c r="O357" s="544"/>
      <c r="P357" s="544"/>
      <c r="Q357" s="544"/>
      <c r="R357" s="544"/>
      <c r="S357" s="544">
        <v>355</v>
      </c>
      <c r="T357" s="544">
        <v>150</v>
      </c>
      <c r="U357" s="544"/>
      <c r="V357" s="544"/>
      <c r="W357" s="544"/>
      <c r="X357" s="544"/>
      <c r="Y357" s="185"/>
    </row>
    <row r="358" spans="12:25" x14ac:dyDescent="0.35">
      <c r="L358" s="544"/>
      <c r="M358" s="544"/>
      <c r="N358" s="544"/>
      <c r="O358" s="544"/>
      <c r="P358" s="544"/>
      <c r="Q358" s="544"/>
      <c r="R358" s="544"/>
      <c r="S358" s="544">
        <v>356</v>
      </c>
      <c r="T358" s="544">
        <v>150</v>
      </c>
      <c r="U358" s="544"/>
      <c r="V358" s="544"/>
      <c r="W358" s="544"/>
      <c r="X358" s="544"/>
      <c r="Y358" s="185"/>
    </row>
    <row r="359" spans="12:25" x14ac:dyDescent="0.35">
      <c r="L359" s="544"/>
      <c r="M359" s="544"/>
      <c r="N359" s="544"/>
      <c r="O359" s="544"/>
      <c r="P359" s="544"/>
      <c r="Q359" s="544"/>
      <c r="R359" s="544"/>
      <c r="S359" s="544">
        <v>357</v>
      </c>
      <c r="T359" s="544">
        <v>150</v>
      </c>
      <c r="U359" s="544"/>
      <c r="V359" s="544"/>
      <c r="W359" s="544"/>
      <c r="X359" s="544"/>
      <c r="Y359" s="185"/>
    </row>
    <row r="360" spans="12:25" x14ac:dyDescent="0.35">
      <c r="L360" s="544"/>
      <c r="M360" s="544"/>
      <c r="N360" s="544"/>
      <c r="O360" s="544"/>
      <c r="P360" s="544"/>
      <c r="Q360" s="544"/>
      <c r="R360" s="544"/>
      <c r="S360" s="544">
        <v>358</v>
      </c>
      <c r="T360" s="544">
        <v>150</v>
      </c>
      <c r="U360" s="544"/>
      <c r="V360" s="544"/>
      <c r="W360" s="544"/>
      <c r="X360" s="544"/>
      <c r="Y360" s="185"/>
    </row>
    <row r="361" spans="12:25" x14ac:dyDescent="0.35">
      <c r="L361" s="544"/>
      <c r="M361" s="544"/>
      <c r="N361" s="544"/>
      <c r="O361" s="544"/>
      <c r="P361" s="544"/>
      <c r="Q361" s="544"/>
      <c r="R361" s="544"/>
      <c r="S361" s="544">
        <v>359</v>
      </c>
      <c r="T361" s="544">
        <v>150</v>
      </c>
      <c r="U361" s="544"/>
      <c r="V361" s="544"/>
      <c r="W361" s="544"/>
      <c r="X361" s="544"/>
      <c r="Y361" s="185"/>
    </row>
    <row r="362" spans="12:25" x14ac:dyDescent="0.35">
      <c r="L362" s="544"/>
      <c r="M362" s="544"/>
      <c r="N362" s="544"/>
      <c r="O362" s="544"/>
      <c r="P362" s="544"/>
      <c r="Q362" s="544"/>
      <c r="R362" s="544"/>
      <c r="S362" s="544">
        <v>360</v>
      </c>
      <c r="T362" s="544">
        <v>150</v>
      </c>
      <c r="U362" s="544">
        <v>360</v>
      </c>
      <c r="V362" s="544"/>
      <c r="W362" s="544"/>
      <c r="X362" s="544"/>
      <c r="Y362" s="185"/>
    </row>
    <row r="363" spans="12:25" x14ac:dyDescent="0.35"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2:25" x14ac:dyDescent="0.35"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2:25" x14ac:dyDescent="0.35"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2:25" x14ac:dyDescent="0.35"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2:25" x14ac:dyDescent="0.35"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2:25" x14ac:dyDescent="0.35"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2:25" x14ac:dyDescent="0.35"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2:25" x14ac:dyDescent="0.35"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2:25" x14ac:dyDescent="0.35"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2:25" x14ac:dyDescent="0.35"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2:25" x14ac:dyDescent="0.35"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2:25" x14ac:dyDescent="0.35"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2:25" x14ac:dyDescent="0.35"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2:25" x14ac:dyDescent="0.35"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2:25" x14ac:dyDescent="0.35"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2:25" x14ac:dyDescent="0.35"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2:25" x14ac:dyDescent="0.35"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2:25" x14ac:dyDescent="0.35"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2:25" x14ac:dyDescent="0.35"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2:25" x14ac:dyDescent="0.35"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2:25" x14ac:dyDescent="0.35"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2:25" x14ac:dyDescent="0.35"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2:25" x14ac:dyDescent="0.35"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2:25" x14ac:dyDescent="0.35"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2:25" x14ac:dyDescent="0.35"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2:25" x14ac:dyDescent="0.35"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2:25" x14ac:dyDescent="0.35"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2:25" x14ac:dyDescent="0.35"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2:25" x14ac:dyDescent="0.35"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2:25" x14ac:dyDescent="0.35"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2:25" x14ac:dyDescent="0.35"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2:25" x14ac:dyDescent="0.35"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2:25" x14ac:dyDescent="0.35"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2:25" x14ac:dyDescent="0.35"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2:25" x14ac:dyDescent="0.35"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2:25" x14ac:dyDescent="0.35"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2:25" x14ac:dyDescent="0.35"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2:25" x14ac:dyDescent="0.35"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2:25" x14ac:dyDescent="0.35"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2:25" x14ac:dyDescent="0.35">
      <c r="L402" s="185"/>
      <c r="M402" s="185"/>
      <c r="N402" s="185"/>
      <c r="O402" s="185"/>
      <c r="P402" s="185"/>
      <c r="Q402" s="185"/>
      <c r="R402" s="185"/>
      <c r="S402" s="185"/>
      <c r="T402" s="185"/>
      <c r="U402" s="185"/>
      <c r="V402" s="185"/>
      <c r="W402" s="185"/>
      <c r="X402" s="185"/>
      <c r="Y402" s="185"/>
    </row>
    <row r="403" spans="12:25" x14ac:dyDescent="0.35">
      <c r="L403" s="185"/>
      <c r="M403" s="185"/>
      <c r="N403" s="185"/>
      <c r="O403" s="185"/>
      <c r="P403" s="185"/>
      <c r="Q403" s="185"/>
      <c r="R403" s="185"/>
      <c r="S403" s="185"/>
      <c r="T403" s="185"/>
      <c r="U403" s="185"/>
      <c r="V403" s="185"/>
      <c r="W403" s="185"/>
      <c r="X403" s="185"/>
      <c r="Y403" s="185"/>
    </row>
    <row r="404" spans="12:25" x14ac:dyDescent="0.35">
      <c r="L404" s="185"/>
      <c r="M404" s="185"/>
      <c r="N404" s="185"/>
      <c r="O404" s="185"/>
      <c r="P404" s="185"/>
      <c r="Q404" s="185"/>
      <c r="R404" s="185"/>
      <c r="S404" s="185"/>
      <c r="T404" s="185"/>
      <c r="U404" s="185"/>
      <c r="V404" s="185"/>
      <c r="W404" s="185"/>
      <c r="X404" s="185"/>
      <c r="Y404" s="185"/>
    </row>
    <row r="405" spans="12:25" x14ac:dyDescent="0.35">
      <c r="L405" s="185"/>
      <c r="M405" s="185"/>
      <c r="N405" s="185"/>
      <c r="O405" s="185"/>
      <c r="P405" s="185"/>
      <c r="Q405" s="185"/>
      <c r="R405" s="185"/>
      <c r="S405" s="185"/>
      <c r="T405" s="185"/>
      <c r="U405" s="185"/>
      <c r="V405" s="185"/>
      <c r="W405" s="185"/>
      <c r="X405" s="185"/>
      <c r="Y405" s="185"/>
    </row>
    <row r="406" spans="12:25" x14ac:dyDescent="0.35">
      <c r="L406" s="185"/>
      <c r="M406" s="185"/>
      <c r="N406" s="185"/>
      <c r="O406" s="185"/>
      <c r="P406" s="185"/>
      <c r="Q406" s="185"/>
      <c r="R406" s="185"/>
      <c r="S406" s="185"/>
      <c r="T406" s="185"/>
      <c r="U406" s="185"/>
      <c r="V406" s="185"/>
      <c r="W406" s="185"/>
      <c r="X406" s="185"/>
      <c r="Y406" s="185"/>
    </row>
    <row r="407" spans="12:25" x14ac:dyDescent="0.35">
      <c r="L407" s="185"/>
      <c r="M407" s="185"/>
      <c r="N407" s="185"/>
      <c r="O407" s="185"/>
      <c r="P407" s="185"/>
      <c r="Q407" s="185"/>
      <c r="R407" s="185"/>
      <c r="S407" s="185"/>
      <c r="T407" s="185"/>
      <c r="U407" s="185"/>
      <c r="V407" s="185"/>
      <c r="W407" s="185"/>
      <c r="X407" s="185"/>
      <c r="Y407" s="185"/>
    </row>
    <row r="408" spans="12:25" x14ac:dyDescent="0.35">
      <c r="L408" s="185"/>
      <c r="M408" s="185"/>
      <c r="N408" s="185"/>
      <c r="O408" s="185"/>
      <c r="P408" s="185"/>
      <c r="Q408" s="185"/>
      <c r="R408" s="185"/>
      <c r="S408" s="185"/>
      <c r="T408" s="185"/>
      <c r="U408" s="185"/>
      <c r="V408" s="185"/>
      <c r="W408" s="185"/>
      <c r="X408" s="185"/>
      <c r="Y408" s="185"/>
    </row>
    <row r="409" spans="12:25" x14ac:dyDescent="0.35">
      <c r="L409" s="185"/>
      <c r="M409" s="185"/>
      <c r="N409" s="185"/>
      <c r="O409" s="185"/>
      <c r="P409" s="185"/>
      <c r="Q409" s="185"/>
      <c r="R409" s="185"/>
      <c r="S409" s="185"/>
      <c r="T409" s="185"/>
      <c r="U409" s="185"/>
      <c r="V409" s="185"/>
      <c r="W409" s="185"/>
      <c r="X409" s="185"/>
      <c r="Y409" s="185"/>
    </row>
    <row r="410" spans="12:25" x14ac:dyDescent="0.35">
      <c r="L410" s="185"/>
      <c r="M410" s="185"/>
      <c r="N410" s="185"/>
      <c r="O410" s="185"/>
      <c r="P410" s="185"/>
      <c r="Q410" s="185"/>
      <c r="R410" s="185"/>
      <c r="S410" s="185"/>
      <c r="T410" s="185"/>
      <c r="U410" s="185"/>
      <c r="V410" s="185"/>
      <c r="W410" s="185"/>
      <c r="X410" s="185"/>
      <c r="Y410" s="185"/>
    </row>
    <row r="411" spans="12:25" x14ac:dyDescent="0.35">
      <c r="L411" s="185"/>
      <c r="M411" s="185"/>
      <c r="N411" s="185"/>
      <c r="O411" s="185"/>
      <c r="P411" s="185"/>
      <c r="Q411" s="185"/>
      <c r="R411" s="185"/>
      <c r="S411" s="185"/>
      <c r="T411" s="185"/>
      <c r="U411" s="185"/>
      <c r="V411" s="185"/>
      <c r="W411" s="185"/>
      <c r="X411" s="185"/>
      <c r="Y411" s="185"/>
    </row>
    <row r="412" spans="12:25" x14ac:dyDescent="0.35">
      <c r="L412" s="185"/>
      <c r="M412" s="185"/>
      <c r="N412" s="185"/>
      <c r="O412" s="185"/>
      <c r="P412" s="185"/>
      <c r="Q412" s="185"/>
      <c r="R412" s="185"/>
      <c r="S412" s="185"/>
      <c r="T412" s="185"/>
      <c r="U412" s="185"/>
      <c r="V412" s="185"/>
      <c r="W412" s="185"/>
      <c r="X412" s="185"/>
      <c r="Y412" s="185"/>
    </row>
    <row r="413" spans="12:25" x14ac:dyDescent="0.35">
      <c r="L413" s="185"/>
      <c r="M413" s="185"/>
      <c r="N413" s="185"/>
      <c r="O413" s="185"/>
      <c r="P413" s="185"/>
      <c r="Q413" s="185"/>
      <c r="R413" s="185"/>
      <c r="S413" s="185"/>
      <c r="T413" s="185"/>
      <c r="U413" s="185"/>
      <c r="V413" s="185"/>
      <c r="W413" s="185"/>
      <c r="X413" s="185"/>
      <c r="Y413" s="185"/>
    </row>
    <row r="414" spans="12:25" x14ac:dyDescent="0.35">
      <c r="L414" s="185"/>
      <c r="M414" s="185"/>
      <c r="N414" s="185"/>
      <c r="O414" s="185"/>
      <c r="P414" s="185"/>
      <c r="Q414" s="185"/>
      <c r="R414" s="185"/>
      <c r="S414" s="185"/>
      <c r="T414" s="185"/>
      <c r="U414" s="185"/>
      <c r="V414" s="185"/>
      <c r="W414" s="185"/>
      <c r="X414" s="185"/>
      <c r="Y414" s="185"/>
    </row>
    <row r="415" spans="12:25" x14ac:dyDescent="0.35">
      <c r="L415" s="185"/>
      <c r="M415" s="185"/>
      <c r="N415" s="185"/>
      <c r="O415" s="185"/>
      <c r="P415" s="185"/>
      <c r="Q415" s="185"/>
      <c r="R415" s="185"/>
      <c r="S415" s="185"/>
      <c r="T415" s="185"/>
      <c r="U415" s="185"/>
      <c r="V415" s="185"/>
      <c r="W415" s="185"/>
      <c r="X415" s="185"/>
      <c r="Y415" s="185"/>
    </row>
    <row r="416" spans="12:25" x14ac:dyDescent="0.35">
      <c r="L416" s="185"/>
      <c r="M416" s="185"/>
      <c r="N416" s="185"/>
      <c r="O416" s="185"/>
      <c r="P416" s="185"/>
      <c r="Q416" s="185"/>
      <c r="R416" s="185"/>
      <c r="S416" s="185"/>
      <c r="T416" s="185"/>
      <c r="U416" s="185"/>
      <c r="V416" s="185"/>
      <c r="W416" s="185"/>
      <c r="X416" s="185"/>
      <c r="Y416" s="185"/>
    </row>
    <row r="417" spans="12:25" x14ac:dyDescent="0.35">
      <c r="L417" s="185"/>
      <c r="M417" s="185"/>
      <c r="N417" s="185"/>
      <c r="O417" s="185"/>
      <c r="P417" s="185"/>
      <c r="Q417" s="185"/>
      <c r="R417" s="185"/>
      <c r="S417" s="185"/>
      <c r="T417" s="185"/>
      <c r="U417" s="185"/>
      <c r="V417" s="185"/>
      <c r="W417" s="185"/>
      <c r="X417" s="185"/>
      <c r="Y417" s="185"/>
    </row>
    <row r="418" spans="12:25" x14ac:dyDescent="0.35">
      <c r="L418" s="185"/>
      <c r="M418" s="185"/>
      <c r="N418" s="185"/>
      <c r="O418" s="185"/>
      <c r="P418" s="185"/>
      <c r="Q418" s="185"/>
      <c r="R418" s="185"/>
      <c r="S418" s="185"/>
      <c r="T418" s="185"/>
      <c r="U418" s="185"/>
      <c r="V418" s="185"/>
      <c r="W418" s="185"/>
      <c r="X418" s="185"/>
      <c r="Y418" s="185"/>
    </row>
    <row r="419" spans="12:25" x14ac:dyDescent="0.35">
      <c r="L419" s="185"/>
      <c r="M419" s="185"/>
      <c r="N419" s="185"/>
      <c r="O419" s="185"/>
      <c r="P419" s="185"/>
      <c r="Q419" s="185"/>
      <c r="R419" s="185"/>
      <c r="S419" s="185"/>
      <c r="T419" s="185"/>
      <c r="U419" s="185"/>
      <c r="V419" s="185"/>
      <c r="W419" s="185"/>
      <c r="X419" s="185"/>
      <c r="Y419" s="185"/>
    </row>
    <row r="420" spans="12:25" x14ac:dyDescent="0.35">
      <c r="L420" s="185"/>
      <c r="M420" s="185"/>
      <c r="N420" s="185"/>
      <c r="O420" s="185"/>
      <c r="P420" s="185"/>
      <c r="Q420" s="185"/>
      <c r="R420" s="185"/>
      <c r="S420" s="185"/>
      <c r="T420" s="185"/>
      <c r="U420" s="185"/>
      <c r="V420" s="185"/>
      <c r="W420" s="185"/>
      <c r="X420" s="185"/>
      <c r="Y420" s="185"/>
    </row>
    <row r="421" spans="12:25" x14ac:dyDescent="0.35">
      <c r="L421" s="185"/>
      <c r="M421" s="185"/>
      <c r="N421" s="185"/>
      <c r="O421" s="185"/>
      <c r="P421" s="185"/>
      <c r="Q421" s="185"/>
      <c r="R421" s="185"/>
      <c r="S421" s="185"/>
      <c r="T421" s="185"/>
      <c r="U421" s="185"/>
      <c r="V421" s="185"/>
      <c r="W421" s="185"/>
      <c r="X421" s="185"/>
      <c r="Y421" s="185"/>
    </row>
    <row r="422" spans="12:25" x14ac:dyDescent="0.35">
      <c r="L422" s="185"/>
      <c r="M422" s="185"/>
      <c r="N422" s="185"/>
      <c r="O422" s="185"/>
      <c r="P422" s="185"/>
      <c r="Q422" s="185"/>
      <c r="R422" s="185"/>
      <c r="S422" s="185"/>
      <c r="T422" s="185"/>
      <c r="U422" s="185"/>
      <c r="V422" s="185"/>
      <c r="W422" s="185"/>
      <c r="X422" s="185"/>
      <c r="Y422" s="185"/>
    </row>
    <row r="423" spans="12:25" x14ac:dyDescent="0.35">
      <c r="L423" s="185"/>
      <c r="M423" s="185"/>
      <c r="N423" s="185"/>
      <c r="O423" s="185"/>
      <c r="P423" s="185"/>
      <c r="Q423" s="185"/>
      <c r="R423" s="185"/>
      <c r="S423" s="185"/>
      <c r="T423" s="185"/>
      <c r="U423" s="185"/>
      <c r="V423" s="185"/>
      <c r="W423" s="185"/>
      <c r="X423" s="185"/>
      <c r="Y423" s="185"/>
    </row>
    <row r="424" spans="12:25" x14ac:dyDescent="0.35">
      <c r="L424" s="185"/>
      <c r="M424" s="185"/>
      <c r="N424" s="185"/>
      <c r="O424" s="185"/>
      <c r="P424" s="185"/>
      <c r="Q424" s="185"/>
      <c r="R424" s="185"/>
      <c r="S424" s="185"/>
      <c r="T424" s="185"/>
      <c r="U424" s="185"/>
      <c r="V424" s="185"/>
      <c r="W424" s="185"/>
      <c r="X424" s="185"/>
      <c r="Y424" s="185"/>
    </row>
    <row r="425" spans="12:25" x14ac:dyDescent="0.35">
      <c r="L425" s="185"/>
      <c r="M425" s="185"/>
      <c r="N425" s="185"/>
      <c r="O425" s="185"/>
      <c r="P425" s="185"/>
      <c r="Q425" s="185"/>
      <c r="R425" s="185"/>
      <c r="S425" s="185"/>
      <c r="T425" s="185"/>
      <c r="U425" s="185"/>
      <c r="V425" s="185"/>
      <c r="W425" s="185"/>
      <c r="X425" s="185"/>
      <c r="Y425" s="185"/>
    </row>
    <row r="426" spans="12:25" x14ac:dyDescent="0.35">
      <c r="L426" s="185"/>
      <c r="M426" s="185"/>
      <c r="N426" s="185"/>
      <c r="O426" s="185"/>
      <c r="P426" s="185"/>
      <c r="Q426" s="185"/>
      <c r="R426" s="185"/>
      <c r="S426" s="185"/>
      <c r="T426" s="185"/>
      <c r="U426" s="185"/>
      <c r="V426" s="185"/>
      <c r="W426" s="185"/>
      <c r="X426" s="185"/>
      <c r="Y426" s="185"/>
    </row>
    <row r="427" spans="12:25" x14ac:dyDescent="0.35">
      <c r="L427" s="185"/>
      <c r="M427" s="185"/>
      <c r="N427" s="185"/>
      <c r="O427" s="185"/>
      <c r="P427" s="185"/>
      <c r="Q427" s="185"/>
      <c r="R427" s="185"/>
      <c r="S427" s="185"/>
      <c r="T427" s="185"/>
      <c r="U427" s="185"/>
      <c r="V427" s="185"/>
      <c r="W427" s="185"/>
      <c r="X427" s="185"/>
      <c r="Y427" s="185"/>
    </row>
    <row r="428" spans="12:25" x14ac:dyDescent="0.35">
      <c r="L428" s="185"/>
      <c r="M428" s="185"/>
      <c r="N428" s="185"/>
      <c r="O428" s="185"/>
      <c r="P428" s="185"/>
      <c r="Q428" s="185"/>
      <c r="R428" s="185"/>
      <c r="S428" s="185"/>
      <c r="T428" s="185"/>
      <c r="U428" s="185"/>
      <c r="V428" s="185"/>
      <c r="W428" s="185"/>
      <c r="X428" s="185"/>
      <c r="Y428" s="185"/>
    </row>
    <row r="429" spans="12:25" x14ac:dyDescent="0.35">
      <c r="L429" s="185"/>
      <c r="M429" s="185"/>
      <c r="N429" s="185"/>
      <c r="O429" s="185"/>
      <c r="P429" s="185"/>
      <c r="Q429" s="185"/>
      <c r="R429" s="185"/>
      <c r="S429" s="185"/>
      <c r="T429" s="185"/>
      <c r="U429" s="185"/>
      <c r="V429" s="185"/>
      <c r="W429" s="185"/>
      <c r="X429" s="185"/>
      <c r="Y429" s="185"/>
    </row>
    <row r="430" spans="12:25" x14ac:dyDescent="0.35">
      <c r="L430" s="185"/>
      <c r="M430" s="185"/>
      <c r="N430" s="185"/>
      <c r="O430" s="185"/>
      <c r="P430" s="185"/>
      <c r="Q430" s="185"/>
      <c r="R430" s="185"/>
      <c r="S430" s="185"/>
      <c r="T430" s="185"/>
      <c r="U430" s="185"/>
      <c r="V430" s="185"/>
      <c r="W430" s="185"/>
      <c r="X430" s="185"/>
      <c r="Y430" s="185"/>
    </row>
    <row r="431" spans="12:25" x14ac:dyDescent="0.35">
      <c r="L431" s="185"/>
      <c r="M431" s="185"/>
      <c r="N431" s="185"/>
      <c r="O431" s="185"/>
      <c r="P431" s="185"/>
      <c r="Q431" s="185"/>
      <c r="R431" s="185"/>
      <c r="S431" s="185"/>
      <c r="T431" s="185"/>
      <c r="U431" s="185"/>
      <c r="V431" s="185"/>
      <c r="W431" s="185"/>
      <c r="X431" s="185"/>
      <c r="Y431" s="185"/>
    </row>
    <row r="432" spans="12:25" x14ac:dyDescent="0.35">
      <c r="L432" s="185"/>
      <c r="M432" s="185"/>
      <c r="N432" s="185"/>
      <c r="O432" s="185"/>
      <c r="P432" s="185"/>
      <c r="Q432" s="185"/>
      <c r="R432" s="185"/>
      <c r="S432" s="185"/>
      <c r="T432" s="185"/>
      <c r="U432" s="185"/>
      <c r="V432" s="185"/>
      <c r="W432" s="185"/>
      <c r="X432" s="185"/>
      <c r="Y432" s="185"/>
    </row>
    <row r="433" spans="12:25" x14ac:dyDescent="0.35">
      <c r="L433" s="185"/>
      <c r="M433" s="185"/>
      <c r="N433" s="185"/>
      <c r="O433" s="185"/>
      <c r="P433" s="185"/>
      <c r="Q433" s="185"/>
      <c r="R433" s="185"/>
      <c r="S433" s="185"/>
      <c r="T433" s="185"/>
      <c r="U433" s="185"/>
      <c r="V433" s="185"/>
      <c r="W433" s="185"/>
      <c r="X433" s="185"/>
      <c r="Y433" s="185"/>
    </row>
    <row r="434" spans="12:25" x14ac:dyDescent="0.35">
      <c r="L434" s="185"/>
      <c r="M434" s="185"/>
      <c r="N434" s="185"/>
      <c r="O434" s="185"/>
      <c r="P434" s="185"/>
      <c r="Q434" s="185"/>
      <c r="R434" s="185"/>
      <c r="S434" s="185"/>
      <c r="T434" s="185"/>
      <c r="U434" s="185"/>
      <c r="V434" s="185"/>
      <c r="W434" s="185"/>
      <c r="X434" s="185"/>
      <c r="Y434" s="185"/>
    </row>
    <row r="435" spans="12:25" x14ac:dyDescent="0.35"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185"/>
      <c r="Y435" s="185"/>
    </row>
    <row r="436" spans="12:25" x14ac:dyDescent="0.35">
      <c r="L436" s="185"/>
      <c r="M436" s="185"/>
      <c r="N436" s="185"/>
      <c r="O436" s="185"/>
      <c r="P436" s="185"/>
      <c r="Q436" s="185"/>
      <c r="R436" s="185"/>
      <c r="S436" s="185"/>
      <c r="T436" s="185"/>
      <c r="U436" s="185"/>
      <c r="V436" s="185"/>
      <c r="W436" s="185"/>
      <c r="X436" s="185"/>
      <c r="Y436" s="185"/>
    </row>
    <row r="437" spans="12:25" x14ac:dyDescent="0.35">
      <c r="L437" s="185"/>
      <c r="M437" s="185"/>
      <c r="N437" s="185"/>
      <c r="O437" s="185"/>
      <c r="P437" s="185"/>
      <c r="Q437" s="185"/>
      <c r="R437" s="185"/>
      <c r="S437" s="185"/>
      <c r="T437" s="185"/>
      <c r="U437" s="185"/>
      <c r="V437" s="185"/>
      <c r="W437" s="185"/>
      <c r="X437" s="185"/>
      <c r="Y437" s="185"/>
    </row>
    <row r="438" spans="12:25" x14ac:dyDescent="0.35">
      <c r="L438" s="185"/>
      <c r="M438" s="185"/>
      <c r="N438" s="185"/>
      <c r="O438" s="185"/>
      <c r="P438" s="185"/>
      <c r="Q438" s="185"/>
      <c r="R438" s="185"/>
      <c r="S438" s="185"/>
      <c r="T438" s="185"/>
      <c r="U438" s="185"/>
      <c r="V438" s="185"/>
      <c r="W438" s="185"/>
      <c r="X438" s="185"/>
      <c r="Y438" s="185"/>
    </row>
    <row r="439" spans="12:25" x14ac:dyDescent="0.35">
      <c r="L439" s="185"/>
      <c r="M439" s="185"/>
      <c r="N439" s="185"/>
      <c r="O439" s="185"/>
      <c r="P439" s="185"/>
      <c r="Q439" s="185"/>
      <c r="R439" s="185"/>
      <c r="S439" s="185"/>
      <c r="T439" s="185"/>
      <c r="U439" s="185"/>
      <c r="V439" s="185"/>
      <c r="W439" s="185"/>
      <c r="X439" s="185"/>
      <c r="Y439" s="185"/>
    </row>
    <row r="440" spans="12:25" x14ac:dyDescent="0.35">
      <c r="L440" s="185"/>
      <c r="M440" s="185"/>
      <c r="N440" s="185"/>
      <c r="O440" s="185"/>
      <c r="P440" s="185"/>
      <c r="Q440" s="185"/>
      <c r="R440" s="185"/>
      <c r="S440" s="185"/>
      <c r="T440" s="185"/>
      <c r="U440" s="185"/>
      <c r="V440" s="185"/>
      <c r="W440" s="185"/>
      <c r="X440" s="185"/>
      <c r="Y440" s="185"/>
    </row>
    <row r="441" spans="12:25" x14ac:dyDescent="0.35">
      <c r="L441" s="185"/>
      <c r="M441" s="185"/>
      <c r="N441" s="185"/>
      <c r="O441" s="185"/>
      <c r="P441" s="185"/>
      <c r="Q441" s="185"/>
      <c r="R441" s="185"/>
      <c r="S441" s="185"/>
      <c r="T441" s="185"/>
      <c r="U441" s="185"/>
      <c r="V441" s="185"/>
      <c r="W441" s="185"/>
      <c r="X441" s="185"/>
      <c r="Y441" s="185"/>
    </row>
    <row r="442" spans="12:25" x14ac:dyDescent="0.35">
      <c r="L442" s="185"/>
      <c r="M442" s="185"/>
      <c r="N442" s="185"/>
      <c r="O442" s="185"/>
      <c r="P442" s="185"/>
      <c r="Q442" s="185"/>
      <c r="R442" s="185"/>
      <c r="S442" s="185"/>
      <c r="T442" s="185"/>
      <c r="U442" s="185"/>
      <c r="V442" s="185"/>
      <c r="W442" s="185"/>
      <c r="X442" s="185"/>
      <c r="Y442" s="185"/>
    </row>
    <row r="443" spans="12:25" x14ac:dyDescent="0.35">
      <c r="L443" s="185"/>
      <c r="M443" s="185"/>
      <c r="N443" s="185"/>
      <c r="O443" s="185"/>
      <c r="P443" s="185"/>
      <c r="Q443" s="185"/>
      <c r="R443" s="185"/>
      <c r="S443" s="185"/>
      <c r="T443" s="185"/>
      <c r="U443" s="185"/>
      <c r="V443" s="185"/>
      <c r="W443" s="185"/>
      <c r="X443" s="185"/>
      <c r="Y443" s="185"/>
    </row>
    <row r="444" spans="12:25" x14ac:dyDescent="0.35">
      <c r="L444" s="185"/>
      <c r="M444" s="185"/>
      <c r="N444" s="185"/>
      <c r="O444" s="185"/>
      <c r="P444" s="185"/>
      <c r="Q444" s="185"/>
      <c r="R444" s="185"/>
      <c r="S444" s="185"/>
      <c r="T444" s="185"/>
      <c r="U444" s="185"/>
      <c r="V444" s="185"/>
      <c r="W444" s="185"/>
      <c r="X444" s="185"/>
      <c r="Y444" s="185"/>
    </row>
    <row r="445" spans="12:25" x14ac:dyDescent="0.35">
      <c r="L445" s="185"/>
      <c r="M445" s="185"/>
      <c r="N445" s="185"/>
      <c r="O445" s="185"/>
      <c r="P445" s="185"/>
      <c r="Q445" s="185"/>
      <c r="R445" s="185"/>
      <c r="S445" s="185"/>
      <c r="T445" s="185"/>
      <c r="U445" s="185"/>
      <c r="V445" s="185"/>
      <c r="W445" s="185"/>
      <c r="X445" s="185"/>
      <c r="Y445" s="185"/>
    </row>
    <row r="446" spans="12:25" x14ac:dyDescent="0.35">
      <c r="L446" s="185"/>
      <c r="M446" s="185"/>
      <c r="N446" s="185"/>
      <c r="O446" s="185"/>
      <c r="P446" s="185"/>
      <c r="Q446" s="185"/>
      <c r="R446" s="185"/>
      <c r="S446" s="185"/>
      <c r="T446" s="185"/>
      <c r="U446" s="185"/>
      <c r="V446" s="185"/>
      <c r="W446" s="185"/>
      <c r="X446" s="185"/>
      <c r="Y446" s="185"/>
    </row>
    <row r="447" spans="12:25" x14ac:dyDescent="0.35">
      <c r="L447" s="185"/>
      <c r="M447" s="185"/>
      <c r="N447" s="185"/>
      <c r="O447" s="185"/>
      <c r="P447" s="185"/>
      <c r="Q447" s="185"/>
      <c r="R447" s="185"/>
      <c r="S447" s="185"/>
      <c r="T447" s="185"/>
      <c r="U447" s="185"/>
      <c r="V447" s="185"/>
      <c r="W447" s="185"/>
      <c r="X447" s="185"/>
      <c r="Y447" s="185"/>
    </row>
    <row r="448" spans="12:25" x14ac:dyDescent="0.35">
      <c r="L448" s="185"/>
      <c r="M448" s="185"/>
      <c r="N448" s="185"/>
      <c r="O448" s="185"/>
      <c r="P448" s="185"/>
      <c r="Q448" s="185"/>
      <c r="R448" s="185"/>
      <c r="S448" s="185"/>
      <c r="T448" s="185"/>
      <c r="U448" s="185"/>
      <c r="V448" s="185"/>
      <c r="W448" s="185"/>
      <c r="X448" s="185"/>
      <c r="Y448" s="185"/>
    </row>
    <row r="449" spans="12:25" x14ac:dyDescent="0.35">
      <c r="L449" s="185"/>
      <c r="M449" s="185"/>
      <c r="N449" s="185"/>
      <c r="O449" s="185"/>
      <c r="P449" s="185"/>
      <c r="Q449" s="185"/>
      <c r="R449" s="185"/>
      <c r="S449" s="185"/>
      <c r="T449" s="185"/>
      <c r="U449" s="185"/>
      <c r="V449" s="185"/>
      <c r="W449" s="185"/>
      <c r="X449" s="185"/>
      <c r="Y449" s="185"/>
    </row>
    <row r="450" spans="12:25" x14ac:dyDescent="0.35">
      <c r="L450" s="185"/>
      <c r="M450" s="185"/>
      <c r="N450" s="185"/>
      <c r="O450" s="185"/>
      <c r="P450" s="185"/>
      <c r="Q450" s="185"/>
      <c r="R450" s="185"/>
      <c r="S450" s="185"/>
      <c r="T450" s="185"/>
      <c r="U450" s="185"/>
      <c r="V450" s="185"/>
      <c r="W450" s="185"/>
      <c r="X450" s="185"/>
      <c r="Y450" s="185"/>
    </row>
    <row r="451" spans="12:25" x14ac:dyDescent="0.35">
      <c r="Y451" s="185"/>
    </row>
    <row r="452" spans="12:25" x14ac:dyDescent="0.35">
      <c r="Y452" s="185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9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85" x14ac:dyDescent="0.35"/>
  <sheetData>
    <row r="1" spans="1:4" ht="25.65" x14ac:dyDescent="0.35">
      <c r="A1" s="584" t="s">
        <v>21</v>
      </c>
      <c r="B1" t="s">
        <v>23</v>
      </c>
      <c r="C1" t="s">
        <v>24</v>
      </c>
    </row>
    <row r="2" spans="1:4" x14ac:dyDescent="0.35">
      <c r="A2" s="25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 s="577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584" t="s">
        <v>21</v>
      </c>
      <c r="B1" s="25" t="s">
        <v>21</v>
      </c>
      <c r="C1" s="25" t="s">
        <v>22</v>
      </c>
      <c r="I1" t="s">
        <v>23</v>
      </c>
      <c r="P1" t="s">
        <v>24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88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88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88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89">
        <f t="shared" si="0"/>
        <v>4.99</v>
      </c>
    </row>
    <row r="6" spans="1:20" x14ac:dyDescent="0.35">
      <c r="A6" s="577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89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89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89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89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89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89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89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89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89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89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89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89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89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89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89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89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89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89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89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89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89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89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89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89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89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89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89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89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89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89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89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89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89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89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89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89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89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89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89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89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89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89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89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8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>
      <selection activeCell="D4" sqref="D4"/>
    </sheetView>
  </sheetViews>
  <sheetFormatPr defaultColWidth="10.73046875" defaultRowHeight="12.65" customHeight="1" x14ac:dyDescent="0.3"/>
  <cols>
    <col min="1" max="1" width="2.73046875" style="711" customWidth="1"/>
    <col min="2" max="2" width="2.59765625" style="710" customWidth="1"/>
    <col min="3" max="3" width="14" style="711" customWidth="1"/>
    <col min="4" max="5" width="11.265625" style="711" customWidth="1"/>
    <col min="6" max="6" width="10.73046875" style="711" customWidth="1"/>
    <col min="7" max="10" width="11.265625" style="711" customWidth="1"/>
    <col min="11" max="11" width="10.73046875" style="711" customWidth="1"/>
    <col min="12" max="12" width="10.73046875" style="712" customWidth="1"/>
    <col min="13" max="16384" width="10.73046875" style="711"/>
  </cols>
  <sheetData>
    <row r="1" spans="1:12" ht="12.65" customHeight="1" x14ac:dyDescent="0.3">
      <c r="A1" s="709"/>
    </row>
    <row r="2" spans="1:12" ht="12.65" customHeight="1" x14ac:dyDescent="0.3">
      <c r="B2" s="713"/>
      <c r="C2" s="714" t="s">
        <v>487</v>
      </c>
      <c r="D2" s="715">
        <f ca="1">TODAY()</f>
        <v>42736</v>
      </c>
      <c r="E2" s="714" t="s">
        <v>488</v>
      </c>
      <c r="F2" s="880" t="str">
        <f>__2_AchterNaam&amp;", "&amp;__3_VoorNaam</f>
        <v>Test, Test</v>
      </c>
      <c r="G2" s="880"/>
      <c r="H2" s="716" t="s">
        <v>297</v>
      </c>
      <c r="I2" s="711" t="str">
        <f>_Pat_Gewicht/10&amp;" kg"</f>
        <v>10 kg</v>
      </c>
      <c r="J2" s="707"/>
      <c r="L2" s="717"/>
    </row>
    <row r="3" spans="1:12" ht="12.65" customHeight="1" x14ac:dyDescent="0.3">
      <c r="B3" s="713"/>
      <c r="C3" s="714" t="s">
        <v>221</v>
      </c>
      <c r="D3" s="718">
        <f ca="1">Var_AfspraakDatum-_Pat_OpnDatum+1</f>
        <v>1</v>
      </c>
      <c r="E3" s="714" t="s">
        <v>486</v>
      </c>
      <c r="F3" s="719">
        <f>__4_GebDatum</f>
        <v>42736</v>
      </c>
      <c r="G3" s="707"/>
      <c r="H3" s="716" t="s">
        <v>142</v>
      </c>
      <c r="I3" s="711" t="str">
        <f>_Pat_Lengte&amp;" cm"</f>
        <v>80 cm</v>
      </c>
      <c r="J3" s="707"/>
      <c r="L3" s="717"/>
    </row>
    <row r="4" spans="1:12" ht="12" customHeight="1" x14ac:dyDescent="0.3">
      <c r="B4" s="713"/>
      <c r="C4" s="714" t="s">
        <v>550</v>
      </c>
      <c r="D4" s="718" t="str">
        <f>__1_Bed</f>
        <v>Unit 1.2</v>
      </c>
      <c r="F4" s="707"/>
      <c r="H4" s="716" t="s">
        <v>143</v>
      </c>
      <c r="I4" s="711" t="str">
        <f>ROUND(POWER(_Pat_Gewicht/10,0.425)*POWER(((_Pat_Lengte/100)*100),0.725)*0.007184,2)&amp;" m2"</f>
        <v>0,46 m2</v>
      </c>
    </row>
    <row r="5" spans="1:12" ht="14.15" customHeight="1" x14ac:dyDescent="0.3">
      <c r="A5" s="720"/>
      <c r="B5" s="721" t="str">
        <f>PedGuiEntTPN!C8</f>
        <v>Voeding</v>
      </c>
      <c r="C5" s="720"/>
      <c r="D5" s="720"/>
      <c r="E5" s="720"/>
      <c r="F5" s="720"/>
      <c r="G5" s="720"/>
      <c r="H5" s="720"/>
      <c r="I5" s="720"/>
      <c r="J5" s="720"/>
      <c r="K5" s="710"/>
    </row>
    <row r="6" spans="1:12" ht="14.15" customHeight="1" x14ac:dyDescent="0.3">
      <c r="A6" s="709"/>
      <c r="B6" s="713"/>
      <c r="C6" s="716" t="s">
        <v>261</v>
      </c>
      <c r="F6" s="716"/>
      <c r="G6" s="711" t="str">
        <f>INDEX(tblSonde,PedBerEnt!O2,1)</f>
        <v>Enteraal voeding</v>
      </c>
      <c r="K6" s="710"/>
    </row>
    <row r="7" spans="1:12" ht="14.15" customHeight="1" x14ac:dyDescent="0.3">
      <c r="C7" s="711">
        <f>IF(G7&lt;&gt;"",INDEX(tblVoedingPO,_Ped_Ent_Keuze_1,1),)</f>
        <v>0</v>
      </c>
      <c r="F7" s="711" t="str">
        <f>PedGuiEntTPN!G9</f>
        <v/>
      </c>
      <c r="G7" s="711" t="str">
        <f>PedGuiEntTPN!C9&amp;" "&amp;PedGuiEntTPN!D9</f>
        <v xml:space="preserve"> </v>
      </c>
      <c r="K7" s="710"/>
      <c r="L7" s="717"/>
    </row>
    <row r="8" spans="1:12" ht="12.65" customHeight="1" x14ac:dyDescent="0.3">
      <c r="B8" s="713"/>
      <c r="C8" s="716"/>
      <c r="D8" s="722" t="str">
        <f>IF(_Ped_Ent_Keuze_2&gt;1,"met "&amp;PedGuiEntTPN!C11&amp;" "&amp;PedGuiEntTPN!D11&amp;" "&amp;INDEX(tblPO_poederlijst,_Ped_Ent_Keuze_2,1),"")</f>
        <v/>
      </c>
      <c r="H8" s="711" t="str">
        <f>PedGuiEntTPN!I11</f>
        <v/>
      </c>
      <c r="K8" s="710"/>
      <c r="L8" s="717"/>
    </row>
    <row r="9" spans="1:12" ht="12.65" customHeight="1" x14ac:dyDescent="0.3">
      <c r="B9" s="713"/>
      <c r="C9" s="716"/>
      <c r="D9" s="722" t="str">
        <f>IF(_Ped_Ent_Keuze_3&gt;1,"met "&amp;PedGuiEntTPN!C12&amp;" "&amp;PedGuiEntTPN!D12&amp;" "&amp;INDEX(tblPO_poederlijst,_Ped_Ent_Keuze_3,1),"")</f>
        <v/>
      </c>
      <c r="H9" s="711" t="str">
        <f>PedGuiEntTPN!I12</f>
        <v/>
      </c>
      <c r="K9" s="710"/>
      <c r="L9" s="717"/>
    </row>
    <row r="10" spans="1:12" ht="12.65" customHeight="1" x14ac:dyDescent="0.3">
      <c r="B10" s="713"/>
      <c r="C10" s="716"/>
      <c r="D10" s="722" t="str">
        <f>IF(_Ped_Ent_Keuze_4&gt;1,"met "&amp;PedGuiEntTPN!C13&amp;" "&amp;PedGuiEntTPN!D13&amp;" "&amp;INDEX(tblPO_poederlijst,_Ped_Ent_Keuze_4,1),"")</f>
        <v/>
      </c>
      <c r="H10" s="711" t="str">
        <f>PedGuiEntTPN!I13</f>
        <v/>
      </c>
      <c r="K10" s="723"/>
      <c r="L10" s="717"/>
    </row>
    <row r="11" spans="1:12" ht="12.65" customHeight="1" x14ac:dyDescent="0.3">
      <c r="K11" s="723"/>
      <c r="L11" s="717"/>
    </row>
    <row r="12" spans="1:12" ht="12.65" customHeight="1" x14ac:dyDescent="0.3">
      <c r="A12" s="720"/>
      <c r="B12" s="724"/>
      <c r="C12" s="725" t="s">
        <v>315</v>
      </c>
      <c r="D12" s="883">
        <f>GlobBerOpm!C6</f>
        <v>0</v>
      </c>
      <c r="E12" s="884"/>
      <c r="F12" s="884"/>
      <c r="G12" s="884"/>
      <c r="H12" s="884"/>
      <c r="I12" s="884"/>
      <c r="J12" s="884"/>
      <c r="K12" s="723"/>
      <c r="L12" s="717"/>
    </row>
    <row r="13" spans="1:12" ht="12.65" customHeight="1" x14ac:dyDescent="0.3">
      <c r="L13" s="717"/>
    </row>
    <row r="14" spans="1:12" ht="12.65" customHeight="1" x14ac:dyDescent="0.3">
      <c r="A14" s="720"/>
      <c r="B14" s="721" t="s">
        <v>128</v>
      </c>
      <c r="C14" s="720"/>
      <c r="D14" s="720"/>
      <c r="E14" s="720"/>
      <c r="F14" s="720"/>
      <c r="G14" s="720"/>
      <c r="H14" s="720"/>
      <c r="I14" s="720"/>
      <c r="J14" s="720"/>
      <c r="L14" s="717"/>
    </row>
    <row r="15" spans="1:12" ht="12.65" customHeight="1" x14ac:dyDescent="0.3">
      <c r="B15" s="716"/>
      <c r="C15" s="716" t="s">
        <v>404</v>
      </c>
      <c r="D15" s="885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886"/>
      <c r="F15" s="886"/>
      <c r="G15" s="886"/>
      <c r="H15" s="886"/>
      <c r="I15" s="886"/>
      <c r="J15" s="886"/>
      <c r="L15" s="717"/>
    </row>
    <row r="16" spans="1:12" ht="12.65" customHeight="1" x14ac:dyDescent="0.3">
      <c r="B16" s="716"/>
      <c r="C16" s="716" t="s">
        <v>477</v>
      </c>
      <c r="D16" s="881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882"/>
      <c r="F16" s="882"/>
      <c r="G16" s="882"/>
      <c r="H16" s="882"/>
      <c r="I16" s="882"/>
      <c r="J16" s="882"/>
      <c r="L16" s="717"/>
    </row>
    <row r="17" spans="1:12" ht="12.65" customHeight="1" x14ac:dyDescent="0.3">
      <c r="B17" s="716"/>
      <c r="C17" s="716" t="s">
        <v>478</v>
      </c>
      <c r="D17" s="881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887"/>
      <c r="F17" s="887"/>
      <c r="G17" s="887"/>
      <c r="H17" s="887"/>
      <c r="I17" s="887"/>
      <c r="J17" s="887"/>
      <c r="L17" s="717"/>
    </row>
    <row r="18" spans="1:12" ht="12.65" customHeight="1" x14ac:dyDescent="0.3">
      <c r="B18" s="716"/>
      <c r="C18" s="716" t="s">
        <v>160</v>
      </c>
      <c r="D18" s="881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887"/>
      <c r="F18" s="887"/>
      <c r="G18" s="887"/>
      <c r="H18" s="887"/>
      <c r="I18" s="887"/>
      <c r="J18" s="887"/>
      <c r="L18" s="717"/>
    </row>
    <row r="19" spans="1:12" ht="12.65" customHeight="1" x14ac:dyDescent="0.3">
      <c r="B19" s="716"/>
      <c r="C19" s="726" t="s">
        <v>18</v>
      </c>
      <c r="D19" s="881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888"/>
      <c r="F19" s="888"/>
      <c r="G19" s="888"/>
      <c r="H19" s="888"/>
      <c r="I19" s="888"/>
      <c r="J19" s="888"/>
      <c r="L19" s="717"/>
    </row>
    <row r="20" spans="1:12" ht="12.65" customHeight="1" x14ac:dyDescent="0.3">
      <c r="B20" s="716"/>
      <c r="C20" s="726" t="s">
        <v>315</v>
      </c>
      <c r="D20" s="876">
        <f>GlobBerOpm!C5</f>
        <v>0</v>
      </c>
      <c r="E20" s="877"/>
      <c r="F20" s="877"/>
      <c r="G20" s="877"/>
      <c r="H20" s="877"/>
      <c r="I20" s="877"/>
      <c r="J20" s="877"/>
      <c r="L20" s="717"/>
    </row>
    <row r="21" spans="1:12" ht="12.65" customHeight="1" x14ac:dyDescent="0.3">
      <c r="A21" s="720"/>
      <c r="B21" s="725"/>
      <c r="C21" s="727"/>
      <c r="D21" s="878"/>
      <c r="E21" s="878"/>
      <c r="F21" s="878"/>
      <c r="G21" s="878"/>
      <c r="H21" s="878"/>
      <c r="I21" s="878"/>
      <c r="J21" s="878"/>
      <c r="L21" s="717"/>
    </row>
    <row r="22" spans="1:12" ht="12.65" customHeight="1" x14ac:dyDescent="0.3">
      <c r="L22" s="717"/>
    </row>
    <row r="23" spans="1:12" ht="12.65" customHeight="1" x14ac:dyDescent="0.3">
      <c r="A23" s="720"/>
      <c r="B23" s="721" t="s">
        <v>74</v>
      </c>
      <c r="C23" s="728"/>
      <c r="D23" s="720"/>
      <c r="E23" s="720"/>
      <c r="F23" s="720"/>
      <c r="G23" s="720"/>
      <c r="H23" s="720"/>
      <c r="I23" s="720"/>
      <c r="J23" s="720"/>
      <c r="L23" s="717"/>
    </row>
    <row r="24" spans="1:12" ht="12.65" customHeight="1" x14ac:dyDescent="0.3">
      <c r="B24" s="710" t="s">
        <v>309</v>
      </c>
      <c r="C24" s="729" t="s">
        <v>780</v>
      </c>
      <c r="D24" s="729" t="str">
        <f>IFERROR(LEFT(Var_Ped_AfsprControles,LEN(Var_Ped_AfsprControles)-3),"")</f>
        <v/>
      </c>
      <c r="L24" s="717"/>
    </row>
    <row r="25" spans="1:12" ht="12.65" customHeight="1" x14ac:dyDescent="0.3">
      <c r="B25" s="710" t="s">
        <v>310</v>
      </c>
      <c r="C25" s="729" t="s">
        <v>786</v>
      </c>
      <c r="D25" s="729" t="str">
        <f>IFERROR(LEFT(Var_Ped_AfsprOnderzoeken,LEN(Var_Ped_AfsprOnderzoeken)-3),"")</f>
        <v/>
      </c>
      <c r="L25" s="717"/>
    </row>
    <row r="26" spans="1:12" ht="12.65" customHeight="1" x14ac:dyDescent="0.3">
      <c r="B26" s="710" t="s">
        <v>311</v>
      </c>
      <c r="C26" s="729" t="s">
        <v>1024</v>
      </c>
      <c r="D26" s="729" t="str">
        <f>IFERROR(LEFT(Var_Ped_AfsprInstellingen,LEN(Var_Ped_AfsprInstellingen)-3),"")</f>
        <v/>
      </c>
      <c r="L26" s="717"/>
    </row>
    <row r="27" spans="1:12" ht="12.65" customHeight="1" x14ac:dyDescent="0.3">
      <c r="B27" s="710" t="s">
        <v>312</v>
      </c>
      <c r="C27" s="729" t="s">
        <v>764</v>
      </c>
      <c r="D27" s="729" t="str">
        <f>IFERROR(LEFT(Var_Ped_AfsprOverig,LEN(Var_Ped_AfsprOverig)-3),"")</f>
        <v/>
      </c>
      <c r="L27" s="717"/>
    </row>
    <row r="28" spans="1:12" ht="12.65" customHeight="1" x14ac:dyDescent="0.3">
      <c r="C28" s="730"/>
      <c r="D28" s="731"/>
      <c r="E28" s="731"/>
      <c r="F28" s="731"/>
      <c r="G28" s="731"/>
      <c r="H28" s="731"/>
      <c r="I28" s="731"/>
      <c r="J28" s="731"/>
      <c r="L28" s="717"/>
    </row>
    <row r="29" spans="1:12" ht="12.65" customHeight="1" x14ac:dyDescent="0.3">
      <c r="C29" s="732"/>
      <c r="D29" s="731"/>
      <c r="E29" s="731"/>
      <c r="F29" s="731"/>
      <c r="G29" s="731"/>
      <c r="H29" s="731"/>
      <c r="I29" s="731"/>
      <c r="J29" s="731"/>
      <c r="L29" s="717"/>
    </row>
    <row r="30" spans="1:12" ht="12.65" customHeight="1" x14ac:dyDescent="0.3">
      <c r="C30" s="730"/>
      <c r="D30" s="731"/>
      <c r="E30" s="731"/>
      <c r="F30" s="731"/>
      <c r="G30" s="731"/>
      <c r="H30" s="731"/>
      <c r="I30" s="731"/>
      <c r="J30" s="731"/>
      <c r="L30" s="717"/>
    </row>
    <row r="31" spans="1:12" ht="12.65" customHeight="1" x14ac:dyDescent="0.3">
      <c r="C31" s="730"/>
      <c r="D31" s="731"/>
      <c r="E31" s="731"/>
      <c r="F31" s="731"/>
      <c r="G31" s="731"/>
      <c r="H31" s="731"/>
      <c r="I31" s="731"/>
      <c r="J31" s="731"/>
      <c r="L31" s="717"/>
    </row>
    <row r="32" spans="1:12" ht="12.65" customHeight="1" x14ac:dyDescent="0.3">
      <c r="B32" s="733" t="s">
        <v>85</v>
      </c>
      <c r="C32" s="720"/>
      <c r="D32" s="720"/>
      <c r="F32" s="720" t="s">
        <v>476</v>
      </c>
      <c r="G32" s="720"/>
      <c r="H32" s="720"/>
      <c r="I32" s="720"/>
      <c r="L32" s="717"/>
    </row>
    <row r="33" spans="1:12" ht="12.65" customHeight="1" x14ac:dyDescent="0.3">
      <c r="L33" s="717"/>
    </row>
    <row r="34" spans="1:12" ht="12.65" customHeight="1" x14ac:dyDescent="0.3">
      <c r="B34" s="713"/>
      <c r="C34" s="714" t="s">
        <v>487</v>
      </c>
      <c r="D34" s="715">
        <f ca="1">TODAY()</f>
        <v>42736</v>
      </c>
      <c r="E34" s="714" t="s">
        <v>488</v>
      </c>
      <c r="F34" s="880" t="str">
        <f>__2_AchterNaam&amp;", "&amp;__3_VoorNaam</f>
        <v>Test, Test</v>
      </c>
      <c r="G34" s="880"/>
      <c r="H34" s="716" t="s">
        <v>297</v>
      </c>
      <c r="I34" s="711" t="str">
        <f>_Pat_Gewicht/10&amp;" kg"</f>
        <v>10 kg</v>
      </c>
      <c r="J34" s="707"/>
      <c r="L34" s="717"/>
    </row>
    <row r="35" spans="1:12" ht="12.65" customHeight="1" x14ac:dyDescent="0.3">
      <c r="B35" s="713"/>
      <c r="C35" s="714" t="s">
        <v>221</v>
      </c>
      <c r="D35" s="718">
        <f ca="1">Var_AfspraakDatum-_Pat_OpnDatum+1</f>
        <v>1</v>
      </c>
      <c r="E35" s="714" t="s">
        <v>486</v>
      </c>
      <c r="F35" s="719">
        <f>__4_GebDatum</f>
        <v>42736</v>
      </c>
      <c r="G35" s="707"/>
      <c r="H35" s="716" t="s">
        <v>142</v>
      </c>
      <c r="I35" s="711" t="str">
        <f>_Pat_Lengte&amp;" cm"</f>
        <v>80 cm</v>
      </c>
      <c r="J35" s="707"/>
      <c r="L35" s="717"/>
    </row>
    <row r="36" spans="1:12" ht="12.65" customHeight="1" x14ac:dyDescent="0.3">
      <c r="D36" s="707"/>
      <c r="F36" s="707"/>
      <c r="H36" s="716" t="s">
        <v>143</v>
      </c>
      <c r="I36" s="711" t="str">
        <f>ROUND(POWER(_Pat_Gewicht/10,0.425)*POWER(((_Pat_Lengte/100)*100),0.725)*0.007184,2)&amp;" m2"</f>
        <v>0,46 m2</v>
      </c>
      <c r="L36" s="717"/>
    </row>
    <row r="37" spans="1:12" ht="12.65" customHeight="1" x14ac:dyDescent="0.3">
      <c r="D37" s="707"/>
      <c r="F37" s="707"/>
      <c r="L37" s="717"/>
    </row>
    <row r="38" spans="1:12" ht="12.65" customHeight="1" x14ac:dyDescent="0.3">
      <c r="A38" s="720"/>
      <c r="B38" s="721" t="s">
        <v>25</v>
      </c>
      <c r="C38" s="728"/>
      <c r="D38" s="720"/>
      <c r="E38" s="720"/>
      <c r="F38" s="720"/>
      <c r="G38" s="720"/>
      <c r="H38" s="720"/>
      <c r="I38" s="720"/>
      <c r="J38" s="720"/>
      <c r="L38" s="717"/>
    </row>
    <row r="39" spans="1:12" ht="12.65" customHeight="1" x14ac:dyDescent="0.3">
      <c r="B39" s="710">
        <v>1</v>
      </c>
      <c r="C39" s="711">
        <f>INDEX(tblInfusen,PedBerIVenPM!B2,1)</f>
        <v>0</v>
      </c>
      <c r="L39" s="717" t="str">
        <f t="shared" ref="L39:L44" si="0">IF(C39=0,"D","")</f>
        <v>D</v>
      </c>
    </row>
    <row r="40" spans="1:12" ht="12.65" customHeight="1" x14ac:dyDescent="0.3">
      <c r="B40" s="710">
        <v>2</v>
      </c>
      <c r="C40" s="711">
        <f>INDEX(tblInfusen,PedBerIVenPM!B3,1)</f>
        <v>0</v>
      </c>
      <c r="L40" s="717" t="str">
        <f t="shared" si="0"/>
        <v>D</v>
      </c>
    </row>
    <row r="41" spans="1:12" ht="12.65" customHeight="1" x14ac:dyDescent="0.3">
      <c r="B41" s="710">
        <v>3</v>
      </c>
      <c r="C41" s="711">
        <f>INDEX(tblInfusen,PedBerIVenPM!B4,1)</f>
        <v>0</v>
      </c>
      <c r="L41" s="717" t="str">
        <f t="shared" si="0"/>
        <v>D</v>
      </c>
    </row>
    <row r="42" spans="1:12" ht="12.65" customHeight="1" x14ac:dyDescent="0.3">
      <c r="B42" s="710">
        <v>4</v>
      </c>
      <c r="C42" s="711">
        <f>INDEX(tblInfusen,PedBerIVenPM!B5,1)</f>
        <v>0</v>
      </c>
      <c r="L42" s="717" t="str">
        <f t="shared" si="0"/>
        <v>D</v>
      </c>
    </row>
    <row r="43" spans="1:12" ht="12.65" customHeight="1" x14ac:dyDescent="0.3">
      <c r="B43" s="710">
        <v>5</v>
      </c>
      <c r="C43" s="711">
        <f>INDEX(tblInfusen,PedBerIVenPM!B6,1)</f>
        <v>0</v>
      </c>
      <c r="L43" s="717" t="str">
        <f t="shared" si="0"/>
        <v>D</v>
      </c>
    </row>
    <row r="44" spans="1:12" ht="12.65" customHeight="1" x14ac:dyDescent="0.3">
      <c r="B44" s="710">
        <v>6</v>
      </c>
      <c r="C44" s="711">
        <f>INDEX(tblInfusen,PedBerIVenPM!B7,1)</f>
        <v>0</v>
      </c>
      <c r="L44" s="717" t="str">
        <f t="shared" si="0"/>
        <v>D</v>
      </c>
    </row>
    <row r="45" spans="1:12" ht="12.65" customHeight="1" x14ac:dyDescent="0.3">
      <c r="L45" s="717"/>
    </row>
    <row r="46" spans="1:12" ht="12.65" customHeight="1" x14ac:dyDescent="0.3">
      <c r="A46" s="720"/>
      <c r="B46" s="724"/>
      <c r="C46" s="725" t="s">
        <v>315</v>
      </c>
      <c r="D46" s="883">
        <f>GlobBerOpm!C2</f>
        <v>0</v>
      </c>
      <c r="E46" s="884"/>
      <c r="F46" s="884"/>
      <c r="G46" s="884"/>
      <c r="H46" s="884"/>
      <c r="I46" s="884"/>
      <c r="J46" s="884"/>
      <c r="L46" s="717"/>
    </row>
    <row r="47" spans="1:12" ht="12.65" customHeight="1" x14ac:dyDescent="0.3">
      <c r="L47" s="717"/>
    </row>
    <row r="48" spans="1:12" ht="12.65" customHeight="1" x14ac:dyDescent="0.3">
      <c r="L48" s="717"/>
    </row>
    <row r="49" spans="1:12" ht="12.65" customHeight="1" x14ac:dyDescent="0.3">
      <c r="A49" s="720"/>
      <c r="B49" s="721" t="s">
        <v>316</v>
      </c>
      <c r="C49" s="720"/>
      <c r="D49" s="720"/>
      <c r="E49" s="720"/>
      <c r="F49" s="720"/>
      <c r="G49" s="720"/>
      <c r="H49" s="720"/>
      <c r="I49" s="720"/>
      <c r="J49" s="720"/>
      <c r="L49" s="717"/>
    </row>
    <row r="50" spans="1:12" ht="12.65" customHeight="1" x14ac:dyDescent="0.3">
      <c r="B50" s="713"/>
      <c r="C50" s="716" t="s">
        <v>323</v>
      </c>
      <c r="D50" s="716"/>
      <c r="E50" s="716" t="s">
        <v>95</v>
      </c>
      <c r="F50" s="716"/>
      <c r="G50" s="716" t="s">
        <v>324</v>
      </c>
      <c r="H50" s="716"/>
      <c r="I50" s="716"/>
      <c r="J50" s="716" t="s">
        <v>202</v>
      </c>
      <c r="L50" s="717"/>
    </row>
    <row r="51" spans="1:12" ht="12.65" customHeight="1" x14ac:dyDescent="0.3">
      <c r="B51" s="710">
        <v>1</v>
      </c>
      <c r="C51" s="711">
        <f>PedGuiMedIV!C9</f>
        <v>0</v>
      </c>
      <c r="E51" s="711" t="str">
        <f>IF(C51&lt;&gt;0,PedGuiMedIV!D9&amp;" in "&amp;PedGuiMedIV!E9&amp;IF(AND(PedBerMedIV!D5&lt;&gt;4,PedGuiMedIV!F9&lt;&gt;0)," "&amp;PedGuiMedIV!F9,""),"")</f>
        <v/>
      </c>
      <c r="G51" s="711" t="str">
        <f>IF(C51&lt;&gt;0,PedGuiMedIV!G9&amp;" (="&amp;PedGuiMedIV!H9&amp;" " &amp; PedGuiMedIV!I9 &amp;")","")</f>
        <v/>
      </c>
      <c r="J51" s="711" t="str">
        <f>PedGuiMedIV!J9</f>
        <v/>
      </c>
      <c r="L51" s="717" t="str">
        <f t="shared" ref="L51:L65" si="1">IF(C51=0,"D","")</f>
        <v>D</v>
      </c>
    </row>
    <row r="52" spans="1:12" ht="12.65" customHeight="1" x14ac:dyDescent="0.3">
      <c r="B52" s="710">
        <v>2</v>
      </c>
      <c r="C52" s="711">
        <f>PedGuiMedIV!C10</f>
        <v>0</v>
      </c>
      <c r="E52" s="711" t="str">
        <f>IF(C52&lt;&gt;0,PedGuiMedIV!D10&amp;" in "&amp;PedGuiMedIV!E10&amp;IF(AND(PedBerMedIV!D6&lt;&gt;4,PedGuiMedIV!F10&lt;&gt;0)," "&amp;PedGuiMedIV!F10,""),"")</f>
        <v/>
      </c>
      <c r="G52" s="711" t="str">
        <f>IF(C52&lt;&gt;0,PedGuiMedIV!G10&amp;" (="&amp;PedGuiMedIV!H10&amp;" " &amp; PedGuiMedIV!I10 &amp;")","")</f>
        <v/>
      </c>
      <c r="J52" s="711" t="str">
        <f>PedGuiMedIV!J10</f>
        <v/>
      </c>
      <c r="L52" s="717" t="str">
        <f t="shared" si="1"/>
        <v>D</v>
      </c>
    </row>
    <row r="53" spans="1:12" ht="12.65" customHeight="1" x14ac:dyDescent="0.3">
      <c r="B53" s="710">
        <v>3</v>
      </c>
      <c r="C53" s="711">
        <f>PedGuiMedIV!C11</f>
        <v>0</v>
      </c>
      <c r="E53" s="711" t="str">
        <f>IF(C53&lt;&gt;0,PedGuiMedIV!D11&amp;" in "&amp;PedGuiMedIV!E11&amp;IF(AND(PedBerMedIV!D7&lt;&gt;4,PedGuiMedIV!F11&lt;&gt;0)," "&amp;PedGuiMedIV!F11,""),"")</f>
        <v/>
      </c>
      <c r="G53" s="711" t="str">
        <f>IF(C53&lt;&gt;0,PedGuiMedIV!G11&amp;" (="&amp;PedGuiMedIV!H11&amp;" " &amp; PedGuiMedIV!I11 &amp;")","")</f>
        <v/>
      </c>
      <c r="J53" s="711" t="str">
        <f>PedGuiMedIV!J11</f>
        <v/>
      </c>
      <c r="L53" s="717" t="str">
        <f t="shared" si="1"/>
        <v>D</v>
      </c>
    </row>
    <row r="54" spans="1:12" ht="12.65" customHeight="1" x14ac:dyDescent="0.3">
      <c r="B54" s="710">
        <v>4</v>
      </c>
      <c r="C54" s="711">
        <f>PedGuiMedIV!C12</f>
        <v>0</v>
      </c>
      <c r="E54" s="711" t="str">
        <f>IF(C54&lt;&gt;0,PedGuiMedIV!D12&amp;" in "&amp;PedGuiMedIV!E12&amp;IF(AND(PedBerMedIV!D8&lt;&gt;4,PedGuiMedIV!F12&lt;&gt;0)," "&amp;PedGuiMedIV!F12,""),"")</f>
        <v/>
      </c>
      <c r="G54" s="711" t="str">
        <f>IF(C54&lt;&gt;0,PedGuiMedIV!G12&amp;" (="&amp;PedGuiMedIV!H12&amp;" " &amp; PedGuiMedIV!I12 &amp;")","")</f>
        <v/>
      </c>
      <c r="J54" s="711" t="str">
        <f>PedGuiMedIV!J12</f>
        <v/>
      </c>
      <c r="L54" s="717" t="str">
        <f t="shared" si="1"/>
        <v>D</v>
      </c>
    </row>
    <row r="55" spans="1:12" ht="12.65" customHeight="1" x14ac:dyDescent="0.3">
      <c r="B55" s="710">
        <v>5</v>
      </c>
      <c r="C55" s="711">
        <f>PedGuiMedIV!C13</f>
        <v>0</v>
      </c>
      <c r="E55" s="711" t="str">
        <f>IF(C55&lt;&gt;0,PedGuiMedIV!D13&amp;" in "&amp;PedGuiMedIV!E13&amp;IF(AND(PedBerMedIV!D9&lt;&gt;4,PedGuiMedIV!F13&lt;&gt;0)," "&amp;PedGuiMedIV!F13,""),"")</f>
        <v/>
      </c>
      <c r="G55" s="711" t="str">
        <f>IF(C55&lt;&gt;0,PedGuiMedIV!G13&amp;" (="&amp;PedGuiMedIV!H13&amp;" " &amp; PedGuiMedIV!I13 &amp;")","")</f>
        <v/>
      </c>
      <c r="J55" s="711" t="str">
        <f>PedGuiMedIV!J13</f>
        <v/>
      </c>
      <c r="L55" s="717" t="str">
        <f t="shared" si="1"/>
        <v>D</v>
      </c>
    </row>
    <row r="56" spans="1:12" ht="12.65" customHeight="1" x14ac:dyDescent="0.3">
      <c r="B56" s="710">
        <v>6</v>
      </c>
      <c r="C56" s="711">
        <f>PedGuiMedIV!C14</f>
        <v>0</v>
      </c>
      <c r="E56" s="711" t="str">
        <f>IF(C56&lt;&gt;0,PedGuiMedIV!D14&amp;" in "&amp;PedGuiMedIV!E14&amp;IF(AND(PedBerMedIV!D10&lt;&gt;4,PedGuiMedIV!F14&lt;&gt;0)," "&amp;PedGuiMedIV!F14,""),"")</f>
        <v/>
      </c>
      <c r="G56" s="711" t="str">
        <f>IF(C56&lt;&gt;0,PedGuiMedIV!G14&amp;" (="&amp;PedGuiMedIV!H14&amp;" " &amp; PedGuiMedIV!I14 &amp;")","")</f>
        <v/>
      </c>
      <c r="J56" s="711" t="str">
        <f>PedGuiMedIV!J14</f>
        <v/>
      </c>
      <c r="L56" s="717" t="str">
        <f t="shared" si="1"/>
        <v>D</v>
      </c>
    </row>
    <row r="57" spans="1:12" ht="12.65" customHeight="1" x14ac:dyDescent="0.3">
      <c r="B57" s="710">
        <v>7</v>
      </c>
      <c r="C57" s="711">
        <f>PedGuiMedIV!C15</f>
        <v>0</v>
      </c>
      <c r="E57" s="711" t="str">
        <f>IF(C57&lt;&gt;0,PedGuiMedIV!D15&amp;" in "&amp;PedGuiMedIV!E15&amp;IF(AND(PedBerMedIV!D11&lt;&gt;4,PedGuiMedIV!F15&lt;&gt;0)," "&amp;PedGuiMedIV!F15,""),"")</f>
        <v/>
      </c>
      <c r="G57" s="711" t="str">
        <f>IF(C57&lt;&gt;0,PedGuiMedIV!G15&amp;" (="&amp;PedGuiMedIV!H15&amp;" " &amp; PedGuiMedIV!I15 &amp;")","")</f>
        <v/>
      </c>
      <c r="J57" s="711" t="str">
        <f>PedGuiMedIV!J15</f>
        <v/>
      </c>
      <c r="L57" s="717" t="str">
        <f t="shared" si="1"/>
        <v>D</v>
      </c>
    </row>
    <row r="58" spans="1:12" ht="12.65" customHeight="1" x14ac:dyDescent="0.3">
      <c r="B58" s="710">
        <v>8</v>
      </c>
      <c r="C58" s="711">
        <f>PedGuiMedIV!C16</f>
        <v>0</v>
      </c>
      <c r="E58" s="711" t="str">
        <f>IF(C58&lt;&gt;0,PedGuiMedIV!D16&amp;" in "&amp;PedGuiMedIV!E16&amp;IF(AND(PedBerMedIV!D12&lt;&gt;4,PedGuiMedIV!F16&lt;&gt;0)," "&amp;PedGuiMedIV!F16,""),"")</f>
        <v/>
      </c>
      <c r="G58" s="711" t="str">
        <f>IF(C58&lt;&gt;0,PedGuiMedIV!G16&amp;" (="&amp;PedGuiMedIV!H16&amp;" " &amp; PedGuiMedIV!I16 &amp;")","")</f>
        <v/>
      </c>
      <c r="J58" s="711" t="str">
        <f>PedGuiMedIV!J16</f>
        <v/>
      </c>
      <c r="L58" s="717" t="str">
        <f t="shared" si="1"/>
        <v>D</v>
      </c>
    </row>
    <row r="59" spans="1:12" ht="12.65" customHeight="1" x14ac:dyDescent="0.3">
      <c r="B59" s="710">
        <v>9</v>
      </c>
      <c r="C59" s="711">
        <f>PedGuiMedIV!C17</f>
        <v>0</v>
      </c>
      <c r="E59" s="711" t="str">
        <f>IF(C59&lt;&gt;0,PedGuiMedIV!D17&amp;" in "&amp;PedGuiMedIV!E17&amp;IF(AND(PedBerMedIV!D13&lt;&gt;4,PedGuiMedIV!F17&lt;&gt;0)," "&amp;PedGuiMedIV!F17,""),"")</f>
        <v/>
      </c>
      <c r="G59" s="711" t="str">
        <f>IF(C59&lt;&gt;0,PedGuiMedIV!G17&amp;" (="&amp;PedGuiMedIV!H17&amp;" " &amp; PedGuiMedIV!I17 &amp;")","")</f>
        <v/>
      </c>
      <c r="J59" s="711" t="str">
        <f>PedGuiMedIV!J17</f>
        <v/>
      </c>
      <c r="L59" s="717" t="str">
        <f t="shared" si="1"/>
        <v>D</v>
      </c>
    </row>
    <row r="60" spans="1:12" ht="12.65" customHeight="1" x14ac:dyDescent="0.3">
      <c r="B60" s="710">
        <v>10</v>
      </c>
      <c r="C60" s="711">
        <f>PedGuiMedIV!C18</f>
        <v>0</v>
      </c>
      <c r="E60" s="711" t="str">
        <f>IF(C60&lt;&gt;0,PedGuiMedIV!D18&amp;" in "&amp;PedGuiMedIV!E18&amp;IF(AND(PedBerMedIV!D14&lt;&gt;4,PedGuiMedIV!F18&lt;&gt;0)," "&amp;PedGuiMedIV!F18,""),"")</f>
        <v/>
      </c>
      <c r="G60" s="711" t="str">
        <f>IF(C60&lt;&gt;0,PedGuiMedIV!G18&amp;" (="&amp;PedGuiMedIV!H18&amp;" " &amp; PedGuiMedIV!I18 &amp;")","")</f>
        <v/>
      </c>
      <c r="J60" s="711" t="str">
        <f>PedGuiMedIV!J18</f>
        <v/>
      </c>
      <c r="L60" s="717" t="str">
        <f t="shared" si="1"/>
        <v>D</v>
      </c>
    </row>
    <row r="61" spans="1:12" ht="12.65" customHeight="1" x14ac:dyDescent="0.3">
      <c r="B61" s="710">
        <v>11</v>
      </c>
      <c r="C61" s="711">
        <f>PedGuiMedIV!C20</f>
        <v>0</v>
      </c>
      <c r="E61" s="711" t="str">
        <f>IF(C61&lt;&gt;0,PedGuiMedIV!D20&amp;" in "&amp;PedGuiMedIV!E20&amp;IF(AND(PedBerMedIV!D15&lt;&gt;4,PedGuiMedIV!F20&lt;&gt;0)," "&amp;PedGuiMedIV!F20,""),"")</f>
        <v/>
      </c>
      <c r="G61" s="711" t="str">
        <f>IF(C61&lt;&gt;0,PedGuiMedIV!G20,"")</f>
        <v/>
      </c>
      <c r="J61" s="711" t="str">
        <f>PedGuiMedIV!J20</f>
        <v/>
      </c>
      <c r="L61" s="717" t="str">
        <f t="shared" si="1"/>
        <v>D</v>
      </c>
    </row>
    <row r="62" spans="1:12" ht="12.65" customHeight="1" x14ac:dyDescent="0.3">
      <c r="B62" s="710">
        <v>12</v>
      </c>
      <c r="C62" s="711">
        <f>PedGuiMedIV!C21</f>
        <v>0</v>
      </c>
      <c r="E62" s="711" t="str">
        <f>IF(C62&lt;&gt;0,PedGuiMedIV!D21&amp;" in "&amp;PedGuiMedIV!E21&amp;IF(AND(PedBerMedIV!D16&lt;&gt;4,PedGuiMedIV!F21&lt;&gt;0)," "&amp;PedGuiMedIV!F21,""),"")</f>
        <v/>
      </c>
      <c r="G62" s="711" t="str">
        <f>IF(C62&lt;&gt;0,PedGuiMedIV!G21,"")</f>
        <v/>
      </c>
      <c r="J62" s="711" t="str">
        <f>PedGuiMedIV!J21</f>
        <v/>
      </c>
      <c r="L62" s="717" t="str">
        <f t="shared" si="1"/>
        <v>D</v>
      </c>
    </row>
    <row r="63" spans="1:12" ht="12.65" customHeight="1" x14ac:dyDescent="0.3">
      <c r="B63" s="710">
        <v>13</v>
      </c>
      <c r="C63" s="711">
        <f>PedGuiMedIV!C22</f>
        <v>0</v>
      </c>
      <c r="E63" s="711" t="str">
        <f>IF(C63&lt;&gt;0,PedGuiMedIV!D22&amp;" in "&amp;PedGuiMedIV!E22&amp;IF(AND(PedBerMedIV!D17&lt;&gt;4,PedGuiMedIV!F22&lt;&gt;0)," "&amp;PedGuiMedIV!F22,""),"")</f>
        <v/>
      </c>
      <c r="G63" s="711" t="str">
        <f>IF(C63&lt;&gt;0,PedGuiMedIV!G22,"")</f>
        <v/>
      </c>
      <c r="J63" s="711" t="str">
        <f>PedGuiMedIV!J22</f>
        <v/>
      </c>
      <c r="L63" s="717" t="str">
        <f t="shared" si="1"/>
        <v>D</v>
      </c>
    </row>
    <row r="64" spans="1:12" ht="12.65" customHeight="1" x14ac:dyDescent="0.3">
      <c r="B64" s="710">
        <v>14</v>
      </c>
      <c r="C64" s="711">
        <f>PedGuiMedIV!C23</f>
        <v>0</v>
      </c>
      <c r="E64" s="711" t="str">
        <f>IF(C64&lt;&gt;0,PedGuiMedIV!D23&amp;" in "&amp;PedGuiMedIV!E23&amp;IF(AND(PedBerMedIV!D18&lt;&gt;4,PedGuiMedIV!F23&lt;&gt;0)," "&amp;PedGuiMedIV!F23,""),"")</f>
        <v/>
      </c>
      <c r="G64" s="711" t="str">
        <f>IF(C64&lt;&gt;0,PedGuiMedIV!G23,"")</f>
        <v/>
      </c>
      <c r="J64" s="711" t="str">
        <f>PedGuiMedIV!J23</f>
        <v/>
      </c>
      <c r="L64" s="717" t="str">
        <f t="shared" si="1"/>
        <v>D</v>
      </c>
    </row>
    <row r="65" spans="1:12" ht="12.65" customHeight="1" x14ac:dyDescent="0.3">
      <c r="B65" s="710">
        <v>15</v>
      </c>
      <c r="C65" s="711">
        <f>PedGuiMedIV!C24</f>
        <v>0</v>
      </c>
      <c r="E65" s="711" t="str">
        <f>IF(C65&lt;&gt;0,PedGuiMedIV!D24&amp;" in "&amp;PedGuiMedIV!E24&amp;IF(AND(PedBerMedIV!D19&lt;&gt;4,PedGuiMedIV!F24&lt;&gt;0)," "&amp;PedGuiMedIV!F24,""),"")</f>
        <v/>
      </c>
      <c r="G65" s="711" t="str">
        <f>IF(C65&lt;&gt;0,PedGuiMedIV!G24,"")</f>
        <v/>
      </c>
      <c r="J65" s="711" t="str">
        <f>PedGuiMedIV!J24</f>
        <v/>
      </c>
      <c r="L65" s="717" t="str">
        <f t="shared" si="1"/>
        <v>D</v>
      </c>
    </row>
    <row r="66" spans="1:12" ht="12.65" customHeight="1" x14ac:dyDescent="0.3">
      <c r="L66" s="717"/>
    </row>
    <row r="67" spans="1:12" ht="12.65" customHeight="1" x14ac:dyDescent="0.3">
      <c r="B67" s="713"/>
      <c r="C67" s="716" t="s">
        <v>315</v>
      </c>
      <c r="D67" s="876">
        <f>GlobBerOpm!C3</f>
        <v>0</v>
      </c>
      <c r="E67" s="876"/>
      <c r="F67" s="876"/>
      <c r="G67" s="876"/>
      <c r="H67" s="876"/>
      <c r="I67" s="876"/>
      <c r="J67" s="876"/>
      <c r="L67" s="717"/>
    </row>
    <row r="68" spans="1:12" ht="12.65" customHeight="1" x14ac:dyDescent="0.3">
      <c r="D68" s="879"/>
      <c r="E68" s="879"/>
      <c r="F68" s="879"/>
      <c r="G68" s="879"/>
      <c r="H68" s="879"/>
      <c r="I68" s="879"/>
      <c r="J68" s="879"/>
      <c r="L68" s="717"/>
    </row>
    <row r="69" spans="1:12" ht="12.65" customHeight="1" x14ac:dyDescent="0.3">
      <c r="A69" s="720"/>
      <c r="B69" s="721" t="str">
        <f>PedGuiEntTPN!C16</f>
        <v>Infuus</v>
      </c>
      <c r="C69" s="728"/>
      <c r="D69" s="720"/>
      <c r="E69" s="720"/>
      <c r="F69" s="720"/>
      <c r="G69" s="720"/>
      <c r="H69" s="720"/>
      <c r="I69" s="720"/>
      <c r="J69" s="720"/>
      <c r="L69" s="717"/>
    </row>
    <row r="70" spans="1:12" ht="12.65" customHeight="1" x14ac:dyDescent="0.3">
      <c r="B70" s="713"/>
      <c r="C70" s="716"/>
      <c r="D70" s="734">
        <f>IF(E70&lt;&gt;"",PedGuiEntTPN!C17,)</f>
        <v>0</v>
      </c>
      <c r="E70" s="735" t="str">
        <f>IF(PedPrtTPN2tot6!G21&lt;&gt;0,PedPrtTPN2tot6!A14&amp;" ml","")</f>
        <v/>
      </c>
      <c r="F70" s="735" t="str">
        <f>IF(PedPrtTPN2tot6!G21&lt;&gt;0,PedPrtTPN2tot6!G21&amp;" ml","")</f>
        <v/>
      </c>
      <c r="G70" s="736"/>
      <c r="H70" s="734">
        <f>IF(I70&lt;&gt;"",PedGuiEntTPN!H17,)</f>
        <v>0</v>
      </c>
      <c r="I70" s="735" t="str">
        <f>PedGuiEntTPN!I17</f>
        <v/>
      </c>
      <c r="J70" s="735" t="str">
        <f>PedGuiEntTPN!J17</f>
        <v/>
      </c>
      <c r="L70" s="717"/>
    </row>
    <row r="71" spans="1:12" ht="12.65" customHeight="1" x14ac:dyDescent="0.3">
      <c r="B71" s="713"/>
      <c r="C71" s="716"/>
      <c r="D71" s="714" t="str">
        <f>IF(F71&lt;&gt;"",PedBerTPN!A28,"")</f>
        <v/>
      </c>
      <c r="E71" s="711" t="str">
        <f>IF(PedBerTPN!B4=4,ROUND(PedBerTPN!D4,1)&amp;" ml/uur","")</f>
        <v/>
      </c>
      <c r="F71" s="711" t="str">
        <f>PedGuiEntTPN!E18</f>
        <v/>
      </c>
      <c r="G71" s="716"/>
      <c r="H71" s="714">
        <f>IF(J71&lt;&gt;"",INDEX(tblSSTGlucose,_Ped_TPN_SST2Keuze,1),)</f>
        <v>0</v>
      </c>
      <c r="J71" s="711" t="str">
        <f>PedGuiEntTPN!J19</f>
        <v/>
      </c>
      <c r="L71" s="717" t="str">
        <f>IF(AND(D71="",H71=0),"D","")</f>
        <v>D</v>
      </c>
    </row>
    <row r="72" spans="1:12" ht="12.65" customHeight="1" x14ac:dyDescent="0.3">
      <c r="B72" s="713"/>
      <c r="C72" s="716"/>
      <c r="D72" s="714" t="str">
        <f>IF(PedGuiEntTPN!G18&lt;&gt;"","Peditrace","")</f>
        <v/>
      </c>
      <c r="E72" s="707" t="str">
        <f>IF(PedGuiEntTPN!G18&lt;&gt;"",PedGuiEntTPN!G18&amp;" "&amp;PedGuiEntTPN!F19,"")</f>
        <v/>
      </c>
      <c r="F72" s="708"/>
      <c r="G72" s="716"/>
      <c r="H72" s="714">
        <f>IF(J72&lt;&gt;"",PedGuiEntTPN!H20,)</f>
        <v>0</v>
      </c>
      <c r="J72" s="711" t="str">
        <f>PedGuiEntTPN!J20</f>
        <v/>
      </c>
      <c r="L72" s="717" t="str">
        <f>IF(AND(D72="",H72=0),"D","")</f>
        <v>D</v>
      </c>
    </row>
    <row r="73" spans="1:12" ht="12.65" customHeight="1" x14ac:dyDescent="0.3">
      <c r="B73" s="713"/>
      <c r="C73" s="716"/>
      <c r="D73" s="714">
        <f>IF(F73&lt;&gt;"",INDEX(tblSSTGlucose,_Ped_TPN_SST1Keuze,1),)</f>
        <v>0</v>
      </c>
      <c r="F73" s="711" t="str">
        <f>IF(AND(_Ped_TPN_Keuze=2,_Ped_TPN_SST1Keuze&lt;11,_Pat_Gewicht/10&lt;=50),ROUND(PedBerTPN!F6,0)&amp;" ml","")</f>
        <v/>
      </c>
      <c r="G73" s="716"/>
      <c r="H73" s="714">
        <f>IF(J73&lt;&gt;"",PedGuiEntTPN!H21,)</f>
        <v>0</v>
      </c>
      <c r="J73" s="711" t="str">
        <f>PedGuiEntTPN!J21</f>
        <v/>
      </c>
      <c r="L73" s="717" t="str">
        <f>IF(AND(D73="",H73=0),"D","")</f>
        <v/>
      </c>
    </row>
    <row r="74" spans="1:12" ht="12.65" customHeight="1" x14ac:dyDescent="0.3">
      <c r="B74" s="713"/>
      <c r="C74" s="716"/>
      <c r="D74" s="714">
        <f>IF(F74&lt;&gt;"",PedGuiEntTPN!C20,)</f>
        <v>0</v>
      </c>
      <c r="F74" s="711" t="str">
        <f>IF(AND(PedPrtTPN2tot6!G14&lt;&gt;"",PedBerTPN!$F$4&gt;0),PedPrtTPN2tot6!G14&amp;" ml","")</f>
        <v/>
      </c>
      <c r="L74" s="717" t="str">
        <f>IF(D74=0,"D","")</f>
        <v>D</v>
      </c>
    </row>
    <row r="75" spans="1:12" ht="12.65" customHeight="1" x14ac:dyDescent="0.3">
      <c r="B75" s="713"/>
      <c r="C75" s="716"/>
      <c r="D75" s="714">
        <f>IF(F75&lt;&gt;"",PedGuiEntTPN!C21,)</f>
        <v>0</v>
      </c>
      <c r="F75" s="711" t="str">
        <f>IF(AND(PedPrtTPN2tot6!G15&lt;&gt;"",PedBerTPN!$F$4&gt;0),PedPrtTPN2tot6!G15&amp;" ml","")</f>
        <v/>
      </c>
      <c r="L75" s="717" t="str">
        <f>IF(D75=0,"D","")</f>
        <v>D</v>
      </c>
    </row>
    <row r="76" spans="1:12" ht="12.65" customHeight="1" x14ac:dyDescent="0.3">
      <c r="D76" s="737"/>
      <c r="H76" s="737"/>
      <c r="L76" s="717"/>
    </row>
    <row r="77" spans="1:12" ht="12.65" customHeight="1" x14ac:dyDescent="0.3">
      <c r="B77" s="713"/>
      <c r="C77" s="716"/>
      <c r="D77" s="738" t="str">
        <f>IF(F77&lt;&gt;"","Electrolyt/Glucose mengsel","")</f>
        <v/>
      </c>
      <c r="E77" s="720" t="str">
        <f>IF(AND(_Pat_Gewicht/10&gt;50,PedPrtTPN50!A27&lt;&gt;""),PedPrtTPN50!A27,PedPrtTPN2tot6!A29)</f>
        <v/>
      </c>
      <c r="F77" s="720" t="str">
        <f>IF(AND(_Pat_Gewicht/10&gt;50,PedPrtTPN50!G35&lt;&gt;0),PedPrtTPN50!G35&amp;" ml",IF(PedPrtTPN2tot6!G36&lt;&gt;0,PedPrtTPN2tot6!G36&amp;" ml",""))</f>
        <v/>
      </c>
      <c r="G77" s="720"/>
      <c r="H77" s="739"/>
      <c r="I77" s="720"/>
      <c r="J77" s="720"/>
      <c r="L77" s="717"/>
    </row>
    <row r="78" spans="1:12" ht="12.65" customHeight="1" x14ac:dyDescent="0.3">
      <c r="B78" s="713"/>
      <c r="C78" s="716"/>
      <c r="D78" s="714">
        <f>IF(F78&lt;&gt;"",INDEX(tblSSTGlucose,_Ped_TPN_SST1Keuze,1),)</f>
        <v>0</v>
      </c>
      <c r="E78" s="740"/>
      <c r="F78" s="711" t="str">
        <f>IF(AND(OR(_Ped_TPN_Keuze=1,AND(_Ped_TPN_Keuze=2,_Ped_TPN_SST1Keuze&gt;10),_Pat_Gewicht/10&gt;50),ROUND(PedBerTPN!F6,0)&lt;&gt;0,_Ped_TPN_SST1Keuze&lt;&gt;2),ROUND(PedBerTPN!F6,0)&amp;" ml","")</f>
        <v/>
      </c>
      <c r="L78" s="717" t="str">
        <f>IF(D78=0,"D","")</f>
        <v>D</v>
      </c>
    </row>
    <row r="79" spans="1:12" ht="12.65" customHeight="1" x14ac:dyDescent="0.3">
      <c r="B79" s="713"/>
      <c r="C79" s="716"/>
      <c r="D79" s="714">
        <f>IF(F79&lt;&gt;"","CaGluc 10%",)</f>
        <v>0</v>
      </c>
      <c r="F79" s="711" t="str">
        <f>PedGuiEntTPN!E23</f>
        <v/>
      </c>
      <c r="L79" s="717" t="str">
        <f t="shared" ref="L79:L85" si="2">IF(D79=0,"D","")</f>
        <v>D</v>
      </c>
    </row>
    <row r="80" spans="1:12" ht="12.65" customHeight="1" x14ac:dyDescent="0.3">
      <c r="B80" s="713"/>
      <c r="C80" s="716"/>
      <c r="D80" s="714">
        <f>IF(F80&lt;&gt;"","MgCl 10%",)</f>
        <v>0</v>
      </c>
      <c r="F80" s="711" t="str">
        <f>PedGuiEntTPN!E24</f>
        <v/>
      </c>
      <c r="L80" s="717" t="str">
        <f t="shared" si="2"/>
        <v>D</v>
      </c>
    </row>
    <row r="81" spans="1:12" ht="12.65" customHeight="1" x14ac:dyDescent="0.3">
      <c r="B81" s="713"/>
      <c r="C81" s="716"/>
      <c r="D81" s="714">
        <f>IF(F81&lt;&gt;"",PedGuiEntTPN!C20,)</f>
        <v>0</v>
      </c>
      <c r="F81" s="711" t="str">
        <f>IF(AND(_Pat_Gewicht/10&gt;50,PedPrtTPN50!G27&lt;&gt;0),PedPrtTPN50!G27&amp;" ml",IF(OR(AND(PedPrtTPN2tot6!G29&lt;&gt;0,PedBerTPN!$F$4=0),AND(PedPrtTPN2tot6!G29&lt;&gt;0,_Pat_Gewicht/10&gt;50)),PedPrtTPN2tot6!G29&amp;" ml",""))</f>
        <v/>
      </c>
      <c r="H81" s="737"/>
      <c r="L81" s="717" t="str">
        <f t="shared" si="2"/>
        <v>D</v>
      </c>
    </row>
    <row r="82" spans="1:12" ht="12.65" customHeight="1" x14ac:dyDescent="0.3">
      <c r="B82" s="713"/>
      <c r="C82" s="716"/>
      <c r="D82" s="714">
        <f>IF(F82&lt;&gt;"",PedGuiEntTPN!C21,)</f>
        <v>0</v>
      </c>
      <c r="F82" s="711" t="str">
        <f>IF(AND(_Pat_Gewicht/10&gt;51,PedPrtTPN50!G28&lt;&gt;0),PedPrtTPN50!G28&amp;" ml",IF(OR(AND(PedPrtTPN2tot6!G30&lt;&gt;0,PedBerTPN!$F$4=0),AND(PedPrtTPN2tot6!G30&lt;&gt;0,_Pat_Gewicht/10&gt;50)),PedPrtTPN2tot6!G30&amp;" ml",""))</f>
        <v/>
      </c>
      <c r="H82" s="737"/>
      <c r="L82" s="717" t="str">
        <f t="shared" si="2"/>
        <v>D</v>
      </c>
    </row>
    <row r="83" spans="1:12" ht="12.65" customHeight="1" x14ac:dyDescent="0.3">
      <c r="B83" s="713"/>
      <c r="C83" s="716"/>
      <c r="D83" s="714" t="str">
        <f>IF(F83&lt;&gt;"","Glucose 10%","")</f>
        <v/>
      </c>
      <c r="F83" s="711" t="str">
        <f>IF(AND(_Pat_Gewicht/10&gt;51,PedPrtTPN50!G31&lt;&gt;0),PedPrtTPN50!G31&amp;" ml",IF(AND(PedPrtTPN2tot6!G33&lt;&gt;0,_Pat_Gewicht/10&lt;=50),PedPrtTPN2tot6!G33&amp;" ml",""))</f>
        <v/>
      </c>
      <c r="H83" s="737"/>
      <c r="L83" s="717" t="str">
        <f t="shared" si="2"/>
        <v/>
      </c>
    </row>
    <row r="84" spans="1:12" ht="12.65" customHeight="1" x14ac:dyDescent="0.3">
      <c r="L84" s="717"/>
    </row>
    <row r="85" spans="1:12" ht="12.65" customHeight="1" x14ac:dyDescent="0.3">
      <c r="B85" s="713"/>
      <c r="C85" s="716"/>
      <c r="D85" s="741">
        <f>IF(E85&lt;&gt;" ","KNaFosfaat",)</f>
        <v>0</v>
      </c>
      <c r="E85" s="720" t="str">
        <f>PedGuiEntTPN!E26&amp;" "&amp;PedGuiEntTPN!H26</f>
        <v xml:space="preserve"> </v>
      </c>
      <c r="F85" s="720"/>
      <c r="L85" s="717" t="str">
        <f t="shared" si="2"/>
        <v>D</v>
      </c>
    </row>
    <row r="86" spans="1:12" ht="12.65" customHeight="1" x14ac:dyDescent="0.3">
      <c r="L86" s="717"/>
    </row>
    <row r="87" spans="1:12" ht="12.65" customHeight="1" x14ac:dyDescent="0.3">
      <c r="B87" s="713"/>
      <c r="C87" s="716"/>
      <c r="D87" s="742">
        <f>IF(E87&lt;&gt;"",PedGuiEntTPN!C27,)</f>
        <v>0</v>
      </c>
      <c r="E87" s="720" t="str">
        <f>PedGuiEntTPN!D27</f>
        <v/>
      </c>
      <c r="F87" s="720" t="str">
        <f>IF(ROUND(PedBerTPN!F12,0)&gt;0,ROUND(PedBerTPN!F12,0)&amp;" ml","")</f>
        <v/>
      </c>
      <c r="H87" s="707"/>
      <c r="L87" s="717"/>
    </row>
    <row r="88" spans="1:12" ht="12.65" customHeight="1" x14ac:dyDescent="0.3">
      <c r="B88" s="713"/>
      <c r="C88" s="716"/>
      <c r="D88" s="714">
        <f>IF(F88&lt;&gt;"","Intralipid 20%",)</f>
        <v>0</v>
      </c>
      <c r="F88" s="711" t="str">
        <f>PedGuiEntTPN!E28</f>
        <v/>
      </c>
      <c r="H88" s="737"/>
      <c r="L88" s="717" t="str">
        <f>IF(D88=0,"D","")</f>
        <v>D</v>
      </c>
    </row>
    <row r="89" spans="1:12" ht="12.65" customHeight="1" x14ac:dyDescent="0.3">
      <c r="B89" s="713"/>
      <c r="C89" s="716"/>
      <c r="D89" s="714">
        <f>IF(F89&lt;&gt;"","Vitintra Infant",)</f>
        <v>0</v>
      </c>
      <c r="F89" s="711" t="str">
        <f>PedGuiEntTPN!E29</f>
        <v/>
      </c>
      <c r="H89" s="737"/>
      <c r="L89" s="717" t="str">
        <f>IF(D89=0,"D","")</f>
        <v>D</v>
      </c>
    </row>
    <row r="90" spans="1:12" ht="12.65" customHeight="1" x14ac:dyDescent="0.3">
      <c r="B90" s="713"/>
      <c r="C90" s="716"/>
      <c r="D90" s="714">
        <f>IF(F90&lt;&gt;"","Soluvit",)</f>
        <v>0</v>
      </c>
      <c r="F90" s="711" t="str">
        <f>PedGuiEntTPN!E30</f>
        <v/>
      </c>
      <c r="H90" s="737"/>
      <c r="L90" s="717" t="str">
        <f>IF(D90=0,"D","")</f>
        <v>D</v>
      </c>
    </row>
    <row r="91" spans="1:12" ht="12.65" customHeight="1" x14ac:dyDescent="0.3">
      <c r="C91" s="737"/>
      <c r="L91" s="717"/>
    </row>
    <row r="92" spans="1:12" ht="12.65" customHeight="1" x14ac:dyDescent="0.3">
      <c r="A92" s="720"/>
      <c r="B92" s="724"/>
      <c r="C92" s="725" t="s">
        <v>315</v>
      </c>
      <c r="D92" s="883">
        <f>GlobBerOpm!C4</f>
        <v>0</v>
      </c>
      <c r="E92" s="884"/>
      <c r="F92" s="884"/>
      <c r="G92" s="884"/>
      <c r="H92" s="884"/>
      <c r="I92" s="884"/>
      <c r="J92" s="884"/>
      <c r="L92" s="717"/>
    </row>
    <row r="93" spans="1:12" ht="12.65" customHeight="1" x14ac:dyDescent="0.3">
      <c r="L93" s="717"/>
    </row>
    <row r="94" spans="1:12" ht="12.65" customHeight="1" x14ac:dyDescent="0.3">
      <c r="L94" s="717"/>
    </row>
    <row r="95" spans="1:12" ht="12.65" customHeight="1" x14ac:dyDescent="0.3">
      <c r="A95" s="720"/>
      <c r="B95" s="721" t="s">
        <v>381</v>
      </c>
      <c r="C95" s="728"/>
      <c r="D95" s="720"/>
      <c r="E95" s="720"/>
      <c r="F95" s="720"/>
      <c r="G95" s="720"/>
      <c r="H95" s="720"/>
      <c r="I95" s="720"/>
      <c r="J95" s="720"/>
      <c r="L95" s="717"/>
    </row>
    <row r="96" spans="1:12" ht="12.65" customHeight="1" x14ac:dyDescent="0.3">
      <c r="B96" s="713"/>
      <c r="C96" s="714" t="str">
        <f>PedGuiEntTPN!B34</f>
        <v>Vocht</v>
      </c>
      <c r="D96" s="711" t="str">
        <f>PedGuiEntTPN!D34</f>
        <v>0 ml/kg</v>
      </c>
      <c r="E96" s="714" t="str">
        <f>PedGuiEntTPN!B35</f>
        <v>Calorieen</v>
      </c>
      <c r="F96" s="711" t="str">
        <f>PedGuiEntTPN!D35</f>
        <v>0 kCal/kg</v>
      </c>
      <c r="G96" s="714" t="str">
        <f>PedGuiEntTPN!B38</f>
        <v>Kalium</v>
      </c>
      <c r="H96" s="711" t="str">
        <f>PedGuiEntTPN!D38</f>
        <v>0 mmol/kg</v>
      </c>
      <c r="I96" s="714" t="str">
        <f>PedGuiEntTPN!B37</f>
        <v xml:space="preserve">Natrium </v>
      </c>
      <c r="J96" s="711" t="str">
        <f>PedGuiEntTPN!D37</f>
        <v>0 mmol/kg</v>
      </c>
      <c r="L96" s="717"/>
    </row>
    <row r="97" spans="1:12" ht="12.65" customHeight="1" x14ac:dyDescent="0.3">
      <c r="B97" s="713"/>
      <c r="C97" s="714" t="str">
        <f>PedGuiEntTPN!H34</f>
        <v>Eiwit</v>
      </c>
      <c r="D97" s="711" t="str">
        <f>PedGuiEntTPN!I34</f>
        <v>0  gram/kg</v>
      </c>
      <c r="E97" s="714" t="str">
        <f>PedGuiEntTPN!H35</f>
        <v>Vet</v>
      </c>
      <c r="F97" s="711" t="str">
        <f>PedGuiEntTPN!I35</f>
        <v>0 gram/kg</v>
      </c>
      <c r="G97" s="714" t="str">
        <f>PedGuiEntTPN!H36</f>
        <v>Calcium</v>
      </c>
      <c r="H97" s="711" t="str">
        <f>PedGuiEntTPN!I36</f>
        <v>0 mmol/kg</v>
      </c>
      <c r="I97" s="714" t="str">
        <f>PedGuiEntTPN!H38</f>
        <v>Fosfaat</v>
      </c>
      <c r="J97" s="711" t="str">
        <f>PedGuiEntTPN!I38</f>
        <v>0 mmol/kg</v>
      </c>
      <c r="L97" s="717"/>
    </row>
    <row r="98" spans="1:12" ht="12.65" customHeight="1" x14ac:dyDescent="0.3">
      <c r="A98" s="720"/>
      <c r="B98" s="724"/>
      <c r="C98" s="743" t="str">
        <f>PedGuiEntTPN!B36</f>
        <v>Glucose/KH</v>
      </c>
      <c r="D98" s="720" t="str">
        <f>PedGuiEntTPN!D36</f>
        <v>0 g/kg</v>
      </c>
      <c r="E98" s="725"/>
      <c r="F98" s="720"/>
      <c r="G98" s="743" t="s">
        <v>340</v>
      </c>
      <c r="H98" s="720" t="str">
        <f>PedGuiEntTPN!I37</f>
        <v>0 mmol/kg</v>
      </c>
      <c r="I98" s="725"/>
      <c r="J98" s="720"/>
      <c r="L98" s="717"/>
    </row>
    <row r="99" spans="1:12" ht="12.65" customHeight="1" x14ac:dyDescent="0.3">
      <c r="B99" s="713"/>
      <c r="C99" s="714" t="s">
        <v>487</v>
      </c>
      <c r="D99" s="715">
        <f ca="1">TODAY()</f>
        <v>42736</v>
      </c>
      <c r="E99" s="714" t="s">
        <v>488</v>
      </c>
      <c r="F99" s="880" t="str">
        <f>__2_AchterNaam&amp;", "&amp;__3_VoorNaam</f>
        <v>Test, Test</v>
      </c>
      <c r="G99" s="880"/>
      <c r="H99" s="716" t="s">
        <v>297</v>
      </c>
      <c r="I99" s="711" t="str">
        <f>_Pat_Gewicht/10&amp;" kg"</f>
        <v>10 kg</v>
      </c>
      <c r="J99" s="707"/>
      <c r="L99" s="717"/>
    </row>
    <row r="100" spans="1:12" ht="12.65" customHeight="1" x14ac:dyDescent="0.3">
      <c r="B100" s="713"/>
      <c r="C100" s="714" t="s">
        <v>221</v>
      </c>
      <c r="D100" s="718">
        <f ca="1">Var_AfspraakDatum-_Pat_OpnDatum+1</f>
        <v>1</v>
      </c>
      <c r="E100" s="714" t="s">
        <v>486</v>
      </c>
      <c r="F100" s="719">
        <f>__4_GebDatum</f>
        <v>42736</v>
      </c>
      <c r="G100" s="707"/>
      <c r="H100" s="716" t="s">
        <v>142</v>
      </c>
      <c r="I100" s="711" t="str">
        <f>_Pat_Lengte&amp;" cm"</f>
        <v>80 cm</v>
      </c>
      <c r="J100" s="707"/>
      <c r="L100" s="717"/>
    </row>
    <row r="101" spans="1:12" ht="12.65" customHeight="1" x14ac:dyDescent="0.3">
      <c r="D101" s="707"/>
      <c r="F101" s="707"/>
      <c r="H101" s="716" t="s">
        <v>143</v>
      </c>
      <c r="I101" s="711" t="str">
        <f>ROUND(POWER(_Pat_Gewicht/10,0.425)*POWER(((_Pat_Lengte/100)*100),0.725)*0.007184,2)&amp;" m2"</f>
        <v>0,46 m2</v>
      </c>
      <c r="L101" s="717"/>
    </row>
    <row r="102" spans="1:12" ht="12.65" customHeight="1" x14ac:dyDescent="0.3">
      <c r="D102" s="707"/>
      <c r="F102" s="707"/>
      <c r="L102" s="717"/>
    </row>
    <row r="103" spans="1:12" ht="12.65" customHeight="1" x14ac:dyDescent="0.3">
      <c r="D103" s="707"/>
      <c r="F103" s="707"/>
      <c r="L103" s="717"/>
    </row>
    <row r="104" spans="1:12" ht="12.65" customHeight="1" x14ac:dyDescent="0.3">
      <c r="D104" s="707"/>
      <c r="F104" s="707"/>
      <c r="L104" s="717"/>
    </row>
    <row r="105" spans="1:12" ht="12.65" customHeight="1" x14ac:dyDescent="0.3">
      <c r="B105" s="721" t="s">
        <v>30</v>
      </c>
      <c r="C105" s="720"/>
      <c r="D105" s="733"/>
      <c r="E105" s="720"/>
      <c r="F105" s="721" t="e">
        <f>IF(Comfort,"Ja","Nee")</f>
        <v>#NAME?</v>
      </c>
      <c r="L105" s="717"/>
    </row>
    <row r="106" spans="1:12" ht="12.65" customHeight="1" x14ac:dyDescent="0.3">
      <c r="L106" s="717"/>
    </row>
    <row r="107" spans="1:12" ht="12.65" customHeight="1" x14ac:dyDescent="0.3">
      <c r="D107" s="744" t="s">
        <v>294</v>
      </c>
      <c r="G107" s="744" t="s">
        <v>137</v>
      </c>
      <c r="L107" s="717"/>
    </row>
    <row r="108" spans="1:12" ht="25" customHeight="1" x14ac:dyDescent="0.3">
      <c r="A108" s="889" t="s">
        <v>135</v>
      </c>
      <c r="B108" s="890"/>
      <c r="C108" s="745" t="s">
        <v>136</v>
      </c>
      <c r="D108" s="745" t="s">
        <v>138</v>
      </c>
      <c r="E108" s="889" t="s">
        <v>140</v>
      </c>
      <c r="F108" s="890"/>
      <c r="G108" s="745" t="s">
        <v>138</v>
      </c>
      <c r="H108" s="889" t="s">
        <v>139</v>
      </c>
      <c r="I108" s="890"/>
      <c r="J108" s="745" t="s">
        <v>264</v>
      </c>
      <c r="K108" s="710"/>
      <c r="L108" s="717"/>
    </row>
    <row r="109" spans="1:12" ht="20.100000000000001" customHeight="1" x14ac:dyDescent="0.3">
      <c r="A109" s="746"/>
      <c r="B109" s="747"/>
      <c r="C109" s="745"/>
      <c r="D109" s="745"/>
      <c r="E109" s="746"/>
      <c r="F109" s="747"/>
      <c r="G109" s="748"/>
      <c r="H109" s="746"/>
      <c r="I109" s="749"/>
      <c r="J109" s="745"/>
      <c r="K109" s="710"/>
      <c r="L109" s="717"/>
    </row>
    <row r="110" spans="1:12" ht="20.100000000000001" customHeight="1" x14ac:dyDescent="0.3">
      <c r="A110" s="746"/>
      <c r="B110" s="747"/>
      <c r="C110" s="745"/>
      <c r="D110" s="745"/>
      <c r="E110" s="746"/>
      <c r="F110" s="747"/>
      <c r="G110" s="748"/>
      <c r="H110" s="746"/>
      <c r="I110" s="749"/>
      <c r="J110" s="745"/>
      <c r="K110" s="710"/>
      <c r="L110" s="717"/>
    </row>
    <row r="111" spans="1:12" ht="20.100000000000001" customHeight="1" x14ac:dyDescent="0.3">
      <c r="A111" s="746"/>
      <c r="B111" s="747"/>
      <c r="C111" s="745"/>
      <c r="D111" s="745"/>
      <c r="E111" s="746"/>
      <c r="F111" s="747"/>
      <c r="G111" s="748"/>
      <c r="H111" s="746"/>
      <c r="I111" s="749"/>
      <c r="J111" s="745"/>
      <c r="K111" s="710"/>
      <c r="L111" s="717"/>
    </row>
    <row r="112" spans="1:12" ht="20.100000000000001" customHeight="1" x14ac:dyDescent="0.3">
      <c r="A112" s="746"/>
      <c r="B112" s="747"/>
      <c r="C112" s="745"/>
      <c r="D112" s="745"/>
      <c r="E112" s="746"/>
      <c r="F112" s="747"/>
      <c r="G112" s="748"/>
      <c r="H112" s="746"/>
      <c r="I112" s="749"/>
      <c r="J112" s="745"/>
      <c r="K112" s="710"/>
      <c r="L112" s="717"/>
    </row>
    <row r="113" spans="1:13" ht="20.100000000000001" customHeight="1" x14ac:dyDescent="0.3">
      <c r="A113" s="746"/>
      <c r="B113" s="747"/>
      <c r="C113" s="745"/>
      <c r="D113" s="745"/>
      <c r="E113" s="746"/>
      <c r="F113" s="747"/>
      <c r="G113" s="748"/>
      <c r="H113" s="746"/>
      <c r="I113" s="749"/>
      <c r="J113" s="745"/>
      <c r="K113" s="710"/>
      <c r="L113" s="717"/>
    </row>
    <row r="114" spans="1:13" ht="20.100000000000001" customHeight="1" x14ac:dyDescent="0.3">
      <c r="A114" s="746"/>
      <c r="B114" s="747"/>
      <c r="C114" s="745"/>
      <c r="D114" s="745"/>
      <c r="E114" s="746"/>
      <c r="F114" s="747"/>
      <c r="G114" s="748"/>
      <c r="H114" s="746"/>
      <c r="I114" s="749"/>
      <c r="J114" s="745"/>
      <c r="K114" s="710"/>
      <c r="L114" s="717"/>
    </row>
    <row r="115" spans="1:13" ht="20.100000000000001" customHeight="1" x14ac:dyDescent="0.3">
      <c r="A115" s="746"/>
      <c r="B115" s="747"/>
      <c r="C115" s="745"/>
      <c r="D115" s="745"/>
      <c r="E115" s="746"/>
      <c r="F115" s="747"/>
      <c r="G115" s="748"/>
      <c r="H115" s="746"/>
      <c r="I115" s="749"/>
      <c r="J115" s="745"/>
      <c r="K115" s="710"/>
      <c r="L115" s="717"/>
    </row>
    <row r="116" spans="1:13" ht="20.100000000000001" customHeight="1" x14ac:dyDescent="0.3">
      <c r="A116" s="746"/>
      <c r="B116" s="747"/>
      <c r="C116" s="745"/>
      <c r="D116" s="745"/>
      <c r="E116" s="746"/>
      <c r="F116" s="747"/>
      <c r="G116" s="748"/>
      <c r="H116" s="746"/>
      <c r="I116" s="749"/>
      <c r="J116" s="745"/>
      <c r="K116" s="710"/>
      <c r="L116" s="717"/>
    </row>
    <row r="117" spans="1:13" ht="20.100000000000001" customHeight="1" x14ac:dyDescent="0.3">
      <c r="A117" s="746"/>
      <c r="B117" s="747"/>
      <c r="C117" s="745"/>
      <c r="D117" s="745"/>
      <c r="E117" s="746"/>
      <c r="F117" s="747"/>
      <c r="G117" s="748"/>
      <c r="H117" s="746"/>
      <c r="I117" s="749"/>
      <c r="J117" s="745"/>
      <c r="K117" s="710"/>
      <c r="L117" s="717"/>
    </row>
    <row r="118" spans="1:13" ht="20.100000000000001" customHeight="1" x14ac:dyDescent="0.3">
      <c r="A118" s="746"/>
      <c r="B118" s="747"/>
      <c r="C118" s="745"/>
      <c r="D118" s="745"/>
      <c r="E118" s="746"/>
      <c r="F118" s="747"/>
      <c r="G118" s="748"/>
      <c r="H118" s="746"/>
      <c r="I118" s="749"/>
      <c r="J118" s="745"/>
      <c r="K118" s="16"/>
      <c r="L118" s="717"/>
      <c r="M118" s="712"/>
    </row>
    <row r="119" spans="1:13" ht="20.100000000000001" customHeight="1" x14ac:dyDescent="0.3">
      <c r="A119" s="746"/>
      <c r="B119" s="747"/>
      <c r="C119" s="745"/>
      <c r="D119" s="745"/>
      <c r="E119" s="746"/>
      <c r="F119" s="747"/>
      <c r="G119" s="748"/>
      <c r="H119" s="746"/>
      <c r="I119" s="749"/>
      <c r="J119" s="745"/>
      <c r="K119" s="16"/>
      <c r="L119" s="717"/>
      <c r="M119" s="712"/>
    </row>
    <row r="120" spans="1:13" ht="20.100000000000001" customHeight="1" x14ac:dyDescent="0.3">
      <c r="A120" s="746"/>
      <c r="B120" s="747"/>
      <c r="C120" s="745"/>
      <c r="D120" s="745"/>
      <c r="E120" s="746"/>
      <c r="F120" s="747"/>
      <c r="G120" s="748"/>
      <c r="H120" s="746"/>
      <c r="I120" s="749"/>
      <c r="J120" s="745"/>
      <c r="K120" s="16"/>
      <c r="L120" s="717"/>
      <c r="M120" s="712"/>
    </row>
    <row r="121" spans="1:13" ht="20.100000000000001" customHeight="1" x14ac:dyDescent="0.3">
      <c r="A121" s="746"/>
      <c r="B121" s="747"/>
      <c r="C121" s="745"/>
      <c r="D121" s="745"/>
      <c r="E121" s="746"/>
      <c r="F121" s="747"/>
      <c r="G121" s="748"/>
      <c r="H121" s="746"/>
      <c r="I121" s="749"/>
      <c r="J121" s="745"/>
      <c r="K121" s="16"/>
      <c r="L121" s="717"/>
      <c r="M121" s="712"/>
    </row>
    <row r="122" spans="1:13" ht="20.100000000000001" customHeight="1" x14ac:dyDescent="0.3">
      <c r="A122" s="746"/>
      <c r="B122" s="747"/>
      <c r="C122" s="745"/>
      <c r="D122" s="745"/>
      <c r="E122" s="746"/>
      <c r="F122" s="747"/>
      <c r="G122" s="748"/>
      <c r="H122" s="746"/>
      <c r="I122" s="749"/>
      <c r="J122" s="745"/>
      <c r="K122" s="16"/>
      <c r="L122" s="717"/>
      <c r="M122" s="712"/>
    </row>
    <row r="123" spans="1:13" ht="20.100000000000001" customHeight="1" x14ac:dyDescent="0.3">
      <c r="A123" s="746"/>
      <c r="B123" s="747"/>
      <c r="C123" s="745"/>
      <c r="D123" s="745"/>
      <c r="E123" s="746"/>
      <c r="F123" s="747"/>
      <c r="G123" s="748"/>
      <c r="H123" s="746"/>
      <c r="I123" s="749"/>
      <c r="J123" s="745"/>
      <c r="K123" s="16"/>
      <c r="L123" s="717"/>
      <c r="M123" s="712"/>
    </row>
    <row r="124" spans="1:13" ht="20.100000000000001" customHeight="1" x14ac:dyDescent="0.3">
      <c r="A124" s="746"/>
      <c r="B124" s="747"/>
      <c r="C124" s="745"/>
      <c r="D124" s="745"/>
      <c r="E124" s="746"/>
      <c r="F124" s="747"/>
      <c r="G124" s="748"/>
      <c r="H124" s="746"/>
      <c r="I124" s="749"/>
      <c r="J124" s="745"/>
      <c r="K124" s="16"/>
      <c r="L124" s="717"/>
      <c r="M124" s="712"/>
    </row>
    <row r="125" spans="1:13" ht="20.100000000000001" customHeight="1" x14ac:dyDescent="0.3">
      <c r="A125" s="746"/>
      <c r="B125" s="747"/>
      <c r="C125" s="745"/>
      <c r="D125" s="745"/>
      <c r="E125" s="746"/>
      <c r="F125" s="747"/>
      <c r="G125" s="748"/>
      <c r="H125" s="746"/>
      <c r="I125" s="749"/>
      <c r="J125" s="745"/>
      <c r="K125" s="16"/>
      <c r="L125" s="717"/>
      <c r="M125" s="712"/>
    </row>
    <row r="126" spans="1:13" ht="30" customHeight="1" x14ac:dyDescent="0.3">
      <c r="A126" s="750" t="s">
        <v>141</v>
      </c>
      <c r="B126" s="751"/>
      <c r="C126" s="750"/>
      <c r="D126" s="750"/>
      <c r="E126" s="750"/>
      <c r="F126" s="751"/>
      <c r="G126" s="751"/>
      <c r="H126" s="750"/>
      <c r="I126" s="750"/>
      <c r="J126" s="750"/>
      <c r="K126" s="16"/>
      <c r="L126" s="717"/>
      <c r="M126" s="712"/>
    </row>
    <row r="127" spans="1:13" ht="30" customHeight="1" x14ac:dyDescent="0.3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712"/>
    </row>
    <row r="128" spans="1:13" ht="30" customHeight="1" x14ac:dyDescent="0.3">
      <c r="A128" s="16"/>
      <c r="B128" s="16"/>
      <c r="C128" s="732"/>
      <c r="D128" s="731"/>
      <c r="E128" s="731"/>
      <c r="F128" s="731"/>
      <c r="G128" s="16"/>
      <c r="H128" s="16"/>
      <c r="I128" s="16"/>
      <c r="J128" s="16"/>
      <c r="K128" s="16"/>
      <c r="L128" s="16"/>
      <c r="M128" s="712"/>
    </row>
    <row r="129" spans="1:13" ht="30" customHeight="1" x14ac:dyDescent="0.3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712"/>
    </row>
    <row r="130" spans="1:13" ht="30" customHeight="1" x14ac:dyDescent="0.3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712"/>
    </row>
    <row r="131" spans="1:13" ht="30" customHeight="1" x14ac:dyDescent="0.3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712"/>
    </row>
    <row r="132" spans="1:13" ht="30" customHeight="1" x14ac:dyDescent="0.3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712"/>
    </row>
    <row r="133" spans="1:13" ht="30" customHeight="1" x14ac:dyDescent="0.3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712"/>
    </row>
    <row r="134" spans="1:13" ht="30" customHeight="1" x14ac:dyDescent="0.3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</row>
    <row r="135" spans="1:13" ht="30" customHeight="1" x14ac:dyDescent="0.3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</row>
    <row r="136" spans="1:13" ht="30" customHeight="1" x14ac:dyDescent="0.3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</row>
    <row r="137" spans="1:13" ht="30" customHeight="1" x14ac:dyDescent="0.3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</row>
    <row r="138" spans="1:13" ht="30" customHeight="1" x14ac:dyDescent="0.3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</row>
    <row r="139" spans="1:13" ht="30" customHeight="1" x14ac:dyDescent="0.3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</row>
    <row r="140" spans="1:13" ht="30" customHeight="1" x14ac:dyDescent="0.3">
      <c r="B140" s="711"/>
      <c r="L140" s="717"/>
    </row>
    <row r="141" spans="1:13" ht="30" customHeight="1" x14ac:dyDescent="0.3">
      <c r="B141" s="711"/>
      <c r="L141" s="717"/>
    </row>
    <row r="142" spans="1:13" ht="30" customHeight="1" x14ac:dyDescent="0.3">
      <c r="B142" s="711"/>
      <c r="L142" s="717"/>
    </row>
    <row r="143" spans="1:13" ht="30" customHeight="1" x14ac:dyDescent="0.3">
      <c r="B143" s="711"/>
      <c r="L143" s="717"/>
    </row>
    <row r="144" spans="1:13" ht="30" customHeight="1" x14ac:dyDescent="0.3">
      <c r="B144" s="711"/>
      <c r="L144" s="717"/>
    </row>
    <row r="145" spans="2:12" ht="30" customHeight="1" x14ac:dyDescent="0.3">
      <c r="B145" s="711"/>
      <c r="L145" s="717"/>
    </row>
    <row r="146" spans="2:12" ht="30" customHeight="1" x14ac:dyDescent="0.3">
      <c r="B146" s="711"/>
      <c r="L146" s="717"/>
    </row>
    <row r="147" spans="2:12" ht="30" customHeight="1" x14ac:dyDescent="0.3">
      <c r="B147" s="711"/>
      <c r="L147" s="717"/>
    </row>
    <row r="148" spans="2:12" ht="30" customHeight="1" x14ac:dyDescent="0.3">
      <c r="B148" s="711"/>
      <c r="L148" s="717"/>
    </row>
    <row r="149" spans="2:12" ht="30" customHeight="1" x14ac:dyDescent="0.3">
      <c r="B149" s="711"/>
      <c r="L149" s="717"/>
    </row>
    <row r="150" spans="2:12" ht="10.199999999999999" x14ac:dyDescent="0.3">
      <c r="B150" s="711"/>
      <c r="L150" s="717"/>
    </row>
    <row r="151" spans="2:12" ht="10.199999999999999" x14ac:dyDescent="0.3">
      <c r="B151" s="711"/>
      <c r="L151" s="717"/>
    </row>
    <row r="152" spans="2:12" ht="10.199999999999999" x14ac:dyDescent="0.3">
      <c r="B152" s="711"/>
      <c r="L152" s="717"/>
    </row>
    <row r="153" spans="2:12" ht="10.199999999999999" x14ac:dyDescent="0.3">
      <c r="B153" s="711"/>
      <c r="L153" s="717"/>
    </row>
    <row r="154" spans="2:12" ht="10.199999999999999" x14ac:dyDescent="0.3">
      <c r="B154" s="711"/>
      <c r="L154" s="717"/>
    </row>
    <row r="155" spans="2:12" ht="12.65" customHeight="1" x14ac:dyDescent="0.3">
      <c r="B155" s="711"/>
      <c r="L155" s="717"/>
    </row>
    <row r="156" spans="2:12" ht="12.65" customHeight="1" x14ac:dyDescent="0.3">
      <c r="B156" s="711"/>
      <c r="L156" s="717"/>
    </row>
    <row r="157" spans="2:12" ht="12.65" customHeight="1" x14ac:dyDescent="0.3">
      <c r="B157" s="711"/>
      <c r="L157" s="717" t="str">
        <f>IF(C24=0,"D","")</f>
        <v/>
      </c>
    </row>
    <row r="158" spans="2:12" ht="12.65" customHeight="1" x14ac:dyDescent="0.3">
      <c r="B158" s="711"/>
      <c r="L158" s="717" t="str">
        <f>IF(C25=0,"D","")</f>
        <v/>
      </c>
    </row>
    <row r="159" spans="2:12" ht="12.65" customHeight="1" x14ac:dyDescent="0.3">
      <c r="B159" s="711"/>
      <c r="L159" s="717" t="str">
        <f>IF(C26=0,"D","")</f>
        <v/>
      </c>
    </row>
    <row r="160" spans="2:12" ht="12.65" customHeight="1" x14ac:dyDescent="0.3">
      <c r="B160" s="711"/>
      <c r="L160" s="717" t="str">
        <f>IF(C27=0,"D","")</f>
        <v/>
      </c>
    </row>
    <row r="161" spans="2:12" ht="12.65" customHeight="1" x14ac:dyDescent="0.3">
      <c r="B161" s="711"/>
      <c r="L161" s="717" t="e">
        <f>IF(#REF!=0,"D","")</f>
        <v>#REF!</v>
      </c>
    </row>
    <row r="162" spans="2:12" ht="12.65" customHeight="1" x14ac:dyDescent="0.3">
      <c r="B162" s="711"/>
      <c r="L162" s="717" t="e">
        <f>IF(#REF!=0,"D","")</f>
        <v>#REF!</v>
      </c>
    </row>
    <row r="163" spans="2:12" ht="12.65" customHeight="1" x14ac:dyDescent="0.3">
      <c r="B163" s="711"/>
      <c r="L163" s="717"/>
    </row>
    <row r="164" spans="2:12" ht="12.65" customHeight="1" x14ac:dyDescent="0.3">
      <c r="B164" s="711"/>
      <c r="L164" s="717"/>
    </row>
    <row r="165" spans="2:12" ht="12.65" customHeight="1" x14ac:dyDescent="0.3">
      <c r="B165" s="711"/>
      <c r="L165" s="717"/>
    </row>
    <row r="166" spans="2:12" ht="12.65" customHeight="1" x14ac:dyDescent="0.3">
      <c r="L166" s="717"/>
    </row>
    <row r="167" spans="2:12" ht="12.65" customHeight="1" x14ac:dyDescent="0.3">
      <c r="L167" s="717"/>
    </row>
    <row r="168" spans="2:12" ht="12.65" customHeight="1" x14ac:dyDescent="0.3">
      <c r="L168" s="717"/>
    </row>
    <row r="169" spans="2:12" ht="12.65" customHeight="1" x14ac:dyDescent="0.3">
      <c r="L169" s="717"/>
    </row>
    <row r="176" spans="2:12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E108:F108"/>
    <mergeCell ref="H108:I108"/>
    <mergeCell ref="A108:B108"/>
    <mergeCell ref="F99:G99"/>
    <mergeCell ref="D92:J92"/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9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6" customWidth="1"/>
    <col min="24" max="33" width="2.73046875" customWidth="1"/>
  </cols>
  <sheetData>
    <row r="1" spans="1:33" ht="19.55" customHeight="1" thickBot="1" x14ac:dyDescent="0.4">
      <c r="A1" s="577"/>
      <c r="B1" t="str">
        <f>"Naam: "&amp;__2_AchterNaam&amp;", "&amp;__3_VoorNaam</f>
        <v>Naam: Test, Test</v>
      </c>
      <c r="D1" t="str">
        <f>"Geboortedatum: "</f>
        <v xml:space="preserve">Geboortedatum: </v>
      </c>
      <c r="F1" s="893">
        <f>__4_GebDatum</f>
        <v>42736</v>
      </c>
      <c r="G1" s="893"/>
      <c r="I1" s="9" t="str">
        <f>"Gewicht: "&amp;ROUND(_Pat_Gewicht/10,1)&amp;"kg"</f>
        <v>Gewicht: 10kg</v>
      </c>
      <c r="P1" s="9" t="s">
        <v>200</v>
      </c>
      <c r="R1" s="891"/>
      <c r="S1" s="891"/>
      <c r="T1" s="891"/>
      <c r="U1" s="891"/>
      <c r="V1" s="891"/>
      <c r="W1" s="891"/>
      <c r="Y1" t="s">
        <v>328</v>
      </c>
      <c r="AB1" s="892">
        <f ca="1">TODAY()</f>
        <v>42736</v>
      </c>
      <c r="AC1" s="892"/>
      <c r="AD1" s="892"/>
      <c r="AE1" s="892"/>
      <c r="AF1" s="892"/>
    </row>
    <row r="2" spans="1:33" ht="26.1" customHeight="1" x14ac:dyDescent="0.35">
      <c r="B2" s="99"/>
      <c r="C2" s="100" t="s">
        <v>355</v>
      </c>
      <c r="D2" s="101" t="s">
        <v>356</v>
      </c>
      <c r="E2" s="101"/>
      <c r="F2" s="101"/>
      <c r="G2" s="102" t="s">
        <v>335</v>
      </c>
      <c r="H2" s="103">
        <v>10</v>
      </c>
      <c r="I2" s="103">
        <v>11</v>
      </c>
      <c r="J2" s="103">
        <v>12</v>
      </c>
      <c r="K2" s="103">
        <v>13</v>
      </c>
      <c r="L2" s="103">
        <v>14</v>
      </c>
      <c r="M2" s="103">
        <v>15</v>
      </c>
      <c r="N2" s="103">
        <v>16</v>
      </c>
      <c r="O2" s="103">
        <v>17</v>
      </c>
      <c r="P2" s="103">
        <v>18</v>
      </c>
      <c r="Q2" s="103">
        <v>19</v>
      </c>
      <c r="R2" s="104">
        <v>20</v>
      </c>
      <c r="S2" s="104">
        <v>21</v>
      </c>
      <c r="T2" s="104">
        <v>22</v>
      </c>
      <c r="U2" s="104">
        <v>23</v>
      </c>
      <c r="V2" s="104">
        <v>24</v>
      </c>
      <c r="W2" s="104">
        <v>1</v>
      </c>
      <c r="X2" s="103">
        <v>2</v>
      </c>
      <c r="Y2" s="103">
        <v>3</v>
      </c>
      <c r="Z2" s="103">
        <v>4</v>
      </c>
      <c r="AA2" s="103">
        <v>5</v>
      </c>
      <c r="AB2" s="103">
        <v>6</v>
      </c>
      <c r="AC2" s="103">
        <v>7</v>
      </c>
      <c r="AD2" s="103">
        <v>8</v>
      </c>
      <c r="AE2" s="105"/>
      <c r="AF2" s="105"/>
      <c r="AG2" s="105"/>
    </row>
    <row r="3" spans="1:33" ht="26.1" customHeight="1" x14ac:dyDescent="0.35">
      <c r="B3" s="107"/>
      <c r="C3" s="231" t="str">
        <f>IF(PedBerMedDisc!C2&lt;&gt;"",IF(PedBerMedDisc!C2&gt;1,TRIM(PedBerMedDisc!C2)&amp;", "&amp;GlobBerOpm!C7&amp;" ("&amp;PedBerMedDisc!M2&amp;" "&amp;PedBerMedDisc!F2&amp;"/kg/dag)",TRIM(PedBerMedDisc!C2)&amp;", "&amp;GlobBerOpm!C7),"")</f>
        <v/>
      </c>
      <c r="D3" s="232" t="str">
        <f>IF(PedGuiMedDisc!H6&lt;&gt;"",PedGuiMedDisc!H6,"")</f>
        <v/>
      </c>
      <c r="E3" s="233" t="str">
        <f>IF(AND(D3&lt;&gt;"",D3&lt;&gt;"STOP"),PedBerMedDisc!H2&amp;" "&amp;PedBerMedDisc!F2,"")</f>
        <v/>
      </c>
      <c r="F3" s="233" t="str">
        <f>IF(AND(D3&lt;&gt;"",D3&lt;&gt;"STOP"),PedBerMedDisc!L2," ")</f>
        <v xml:space="preserve"> </v>
      </c>
      <c r="G3" s="233" t="str">
        <f>IF(PedGuiMedDisc!L6&lt;&gt;"",PedGuiMedDisc!L6&amp;" "&amp;PedGuiMedDisc!M6&amp;" "&amp;INDEX(PedBerMedDisc!$B$27:$B$30,PedBerMedDisc!O2,1)&amp;" in "&amp;PedGuiMedDisc!$O$6,"")</f>
        <v/>
      </c>
      <c r="H3" s="106" t="str">
        <f>IF(OR($D3="1 dd",$D3="2 dd",$D3="3 dd",$D3="4 dd",$D3="6 dd",$D3="8 dd",$D3="12 dd",$D3="an",$D3="1 X"),VLOOKUP($D3,PedTblTijden!$A$16:$X$26,PedTblTijden!B$14,FALSE),"")</f>
        <v/>
      </c>
      <c r="I3" s="15" t="str">
        <f>IF(OR($D3="1 dd",$D3="2 dd",$D3="3 dd",$D3="4 dd",$D3="6 dd",$D3="8 dd",$D3="12 dd",$D3="an",$D3="1 X"),VLOOKUP($D3,PedTblTijden!$A$16:$X$26,PedTblTijden!C$14,FALSE),"")</f>
        <v/>
      </c>
      <c r="J3" s="106" t="str">
        <f>IF(OR($D3="1 dd",$D3="2 dd",$D3="3 dd",$D3="4 dd",$D3="6 dd",$D3="8 dd",$D3="12 dd",$D3="an",$D3="1 X"),VLOOKUP($D3,PedTblTijden!$A$16:$X$26,PedTblTijden!D$14,FALSE),"")</f>
        <v/>
      </c>
      <c r="K3" s="15" t="str">
        <f>IF(OR($D3="1 dd",$D3="2 dd",$D3="3 dd",$D3="4 dd",$D3="6 dd",$D3="8 dd",$D3="12 dd",$D3="an",$D3="1 X"),VLOOKUP($D3,PedTblTijden!$A$16:$X$26,PedTblTijden!E$14,FALSE),"")</f>
        <v/>
      </c>
      <c r="L3" s="106" t="str">
        <f>IF(OR($D3="1 dd",$D3="2 dd",$D3="3 dd",$D3="4 dd",$D3="6 dd",$D3="8 dd",$D3="12 dd",$D3="an",$D3="1 X"),VLOOKUP($D3,PedTblTijden!$A$16:$X$26,PedTblTijden!F$14,FALSE),"")</f>
        <v/>
      </c>
      <c r="M3" s="15" t="str">
        <f>IF(OR($D3="1 dd",$D3="2 dd",$D3="3 dd",$D3="4 dd",$D3="6 dd",$D3="8 dd",$D3="12 dd",$D3="an",$D3="1 X"),VLOOKUP($D3,PedTblTijden!$A$16:$X$26,PedTblTijden!G$14,FALSE),"")</f>
        <v/>
      </c>
      <c r="N3" s="106" t="str">
        <f>IF(OR($D3="1 dd",$D3="2 dd",$D3="3 dd",$D3="4 dd",$D3="6 dd",$D3="8 dd",$D3="12 dd",$D3="an",$D3="1 X"),VLOOKUP($D3,PedTblTijden!$A$16:$X$26,PedTblTijden!H$14,FALSE),"")</f>
        <v/>
      </c>
      <c r="O3" s="15" t="str">
        <f>IF(OR($D3="1 dd",$D3="2 dd",$D3="3 dd",$D3="4 dd",$D3="6 dd",$D3="8 dd",$D3="12 dd",$D3="an",$D3="1 X"),VLOOKUP($D3,PedTblTijden!$A$16:$X$26,PedTblTijden!I$14,FALSE),"")</f>
        <v/>
      </c>
      <c r="P3" s="106" t="str">
        <f>IF(OR($D3="1 dd",$D3="2 dd",$D3="3 dd",$D3="4 dd",$D3="6 dd",$D3="8 dd",$D3="12 dd",$D3="an",$D3="1 X"),VLOOKUP($D3,PedTblTijden!$A$16:$X$26,PedTblTijden!J$14,FALSE),"")</f>
        <v/>
      </c>
      <c r="Q3" s="15" t="str">
        <f>IF(OR($D3="1 dd",$D3="2 dd",$D3="3 dd",$D3="4 dd",$D3="6 dd",$D3="8 dd",$D3="12 dd",$D3="an",$D3="1 X"),VLOOKUP($D3,PedTblTijden!$A$16:$X$26,PedTblTijden!K$14,FALSE),"")</f>
        <v/>
      </c>
      <c r="R3" s="106" t="str">
        <f>IF(OR($D3="1 dd",$D3="2 dd",$D3="3 dd",$D3="4 dd",$D3="6 dd",$D3="8 dd",$D3="12 dd",$D3="an",$D3="1 X"),VLOOKUP($D3,PedTblTijden!$A$16:$X$26,PedTblTijden!L$14,FALSE),"")</f>
        <v/>
      </c>
      <c r="S3" s="15" t="str">
        <f>IF(OR($D3="1 dd",$D3="2 dd",$D3="3 dd",$D3="4 dd",$D3="6 dd",$D3="8 dd",$D3="12 dd",$D3="an",$D3="1 X"),VLOOKUP($D3,PedTblTijden!$A$16:$X$26,PedTblTijden!M$14,FALSE),"")</f>
        <v/>
      </c>
      <c r="T3" s="106" t="str">
        <f>IF(OR($D3="1 dd",$D3="2 dd",$D3="3 dd",$D3="4 dd",$D3="6 dd",$D3="8 dd",$D3="12 dd",$D3="an",$D3="1 X"),VLOOKUP($D3,PedTblTijden!$A$16:$X$26,PedTblTijden!N$14,FALSE),"")</f>
        <v/>
      </c>
      <c r="U3" s="15" t="str">
        <f>IF(OR($D3="1 dd",$D3="2 dd",$D3="3 dd",$D3="4 dd",$D3="6 dd",$D3="8 dd",$D3="12 dd",$D3="an",$D3="1 X"),VLOOKUP($D3,PedTblTijden!$A$16:$X$26,PedTblTijden!O$14,FALSE),"")</f>
        <v/>
      </c>
      <c r="V3" s="106" t="str">
        <f>IF(OR($D3="1 dd",$D3="2 dd",$D3="3 dd",$D3="4 dd",$D3="6 dd",$D3="8 dd",$D3="12 dd",$D3="an",$D3="1 X"),VLOOKUP($D3,PedTblTijden!$A$16:$X$26,PedTblTijden!P$14,FALSE),"")</f>
        <v/>
      </c>
      <c r="W3" s="15" t="str">
        <f>IF(OR($D3="1 dd",$D3="2 dd",$D3="3 dd",$D3="4 dd",$D3="6 dd",$D3="8 dd",$D3="12 dd",$D3="an",$D3="1 X"),VLOOKUP($D3,PedTblTijden!$A$16:$X$26,PedTblTijden!Q$14,FALSE),"")</f>
        <v/>
      </c>
      <c r="X3" s="106" t="str">
        <f>IF(OR($D3="1 dd",$D3="2 dd",$D3="3 dd",$D3="4 dd",$D3="6 dd",$D3="8 dd",$D3="12 dd",$D3="an",$D3="1 X"),VLOOKUP($D3,PedTblTijden!$A$16:$X$26,PedTblTijden!R$14,FALSE),"")</f>
        <v/>
      </c>
      <c r="Y3" s="15" t="str">
        <f>IF(OR($D3="1 dd",$D3="2 dd",$D3="3 dd",$D3="4 dd",$D3="6 dd",$D3="8 dd",$D3="12 dd",$D3="an",$D3="1 X"),VLOOKUP($D3,PedTblTijden!$A$16:$X$26,PedTblTijden!S$14,FALSE),"")</f>
        <v/>
      </c>
      <c r="Z3" s="106" t="str">
        <f>IF(OR($D3="1 dd",$D3="2 dd",$D3="3 dd",$D3="4 dd",$D3="6 dd",$D3="8 dd",$D3="12 dd",$D3="an",$D3="1 X"),VLOOKUP($D3,PedTblTijden!$A$16:$X$26,PedTblTijden!T$14,FALSE),"")</f>
        <v/>
      </c>
      <c r="AA3" s="15" t="str">
        <f>IF(OR($D3="1 dd",$D3="2 dd",$D3="3 dd",$D3="4 dd",$D3="6 dd",$D3="8 dd",$D3="12 dd",$D3="an",$D3="1 X"),VLOOKUP($D3,PedTblTijden!$A$16:$X$26,PedTblTijden!U$14,FALSE),"")</f>
        <v/>
      </c>
      <c r="AB3" s="106" t="str">
        <f>IF(OR($D3="1 dd",$D3="2 dd",$D3="3 dd",$D3="4 dd",$D3="6 dd",$D3="8 dd",$D3="12 dd",$D3="an",$D3="1 X"),VLOOKUP($D3,PedTblTijden!$A$16:$X$26,PedTblTijden!V$14,FALSE),"")</f>
        <v/>
      </c>
      <c r="AC3" s="15" t="str">
        <f>IF(OR($D3="1 dd",$D3="2 dd",$D3="3 dd",$D3="4 dd",$D3="6 dd",$D3="8 dd",$D3="12 dd",$D3="an",$D3="1 X"),VLOOKUP($D3,PedTblTijden!$A$16:$X$26,PedTblTijden!W$14,FALSE),"")</f>
        <v/>
      </c>
      <c r="AD3" s="106" t="str">
        <f>IF(OR($D3="1 dd",$D3="2 dd",$D3="3 dd",$D3="4 dd",$D3="6 dd",$D3="8 dd",$D3="12 dd",$D3="an",$D3="1 X"),VLOOKUP($D3,PedTblTijden!$A$16:$X$26,PedTblTijden!X$14,FALSE),"")</f>
        <v/>
      </c>
      <c r="AE3" s="17"/>
      <c r="AF3" s="105"/>
      <c r="AG3" s="17"/>
    </row>
    <row r="4" spans="1:33" ht="26.1" customHeight="1" x14ac:dyDescent="0.35">
      <c r="B4" s="107"/>
      <c r="C4" s="231" t="str">
        <f>IF(PedBerMedDisc!C3&lt;&gt;"",IF(PedBerMedDisc!C3&gt;1,TRIM(PedBerMedDisc!C3)&amp;", "&amp;GlobBerOpm!C8&amp;" ("&amp;PedBerMedDisc!M3&amp;" "&amp;PedBerMedDisc!F3&amp;"/kg/dag)",TRIM(PedBerMedDisc!C3)&amp;", "&amp;GlobBerOpm!C8),"")</f>
        <v/>
      </c>
      <c r="D4" s="232" t="str">
        <f>IF(PedGuiMedDisc!H8&lt;&gt;"",PedGuiMedDisc!H8,"")</f>
        <v/>
      </c>
      <c r="E4" s="233" t="str">
        <f>IF(AND(D4&lt;&gt;"",D4&lt;&gt;"STOP"),PedBerMedDisc!H3&amp;" "&amp;PedBerMedDisc!F3,"")</f>
        <v/>
      </c>
      <c r="F4" s="233" t="str">
        <f>IF(AND(D4&lt;&gt;"",D4&lt;&gt;"STOP"),PedBerMedDisc!L3," ")</f>
        <v xml:space="preserve"> </v>
      </c>
      <c r="G4" s="233" t="str">
        <f>IF(PedGuiMedDisc!L8&lt;&gt;"",PedGuiMedDisc!L8&amp;" "&amp;PedGuiMedDisc!M8&amp;" "&amp;INDEX(PedBerMedDisc!$B$27:$B$30,PedBerMedDisc!O3,1)&amp;" in "&amp;PedGuiMedDisc!$O$8,"")</f>
        <v/>
      </c>
      <c r="H4" s="106" t="str">
        <f>IF(OR($D4="1 dd",$D4="2 dd",$D4="3 dd",$D4="4 dd",$D4="6 dd",$D4="8 dd",$D4="12 dd",$D4="an",$D4="1 X"),VLOOKUP($D4,PedTblTijden!$A$16:$X$26,PedTblTijden!B$14,FALSE),"")</f>
        <v/>
      </c>
      <c r="I4" s="15" t="str">
        <f>IF(OR($D4="1 dd",$D4="2 dd",$D4="3 dd",$D4="4 dd",$D4="6 dd",$D4="8 dd",$D4="12 dd",$D4="an",$D4="1 X"),VLOOKUP($D4,PedTblTijden!$A$16:$X$26,PedTblTijden!C$14,FALSE),"")</f>
        <v/>
      </c>
      <c r="J4" s="106" t="str">
        <f>IF(OR($D4="1 dd",$D4="2 dd",$D4="3 dd",$D4="4 dd",$D4="6 dd",$D4="8 dd",$D4="12 dd",$D4="an",$D4="1 X"),VLOOKUP($D4,PedTblTijden!$A$16:$X$26,PedTblTijden!D$14,FALSE),"")</f>
        <v/>
      </c>
      <c r="K4" s="15" t="str">
        <f>IF(OR($D4="1 dd",$D4="2 dd",$D4="3 dd",$D4="4 dd",$D4="6 dd",$D4="8 dd",$D4="12 dd",$D4="an",$D4="1 X"),VLOOKUP($D4,PedTblTijden!$A$16:$X$26,PedTblTijden!E$14,FALSE),"")</f>
        <v/>
      </c>
      <c r="L4" s="106" t="str">
        <f>IF(OR($D4="1 dd",$D4="2 dd",$D4="3 dd",$D4="4 dd",$D4="6 dd",$D4="8 dd",$D4="12 dd",$D4="an",$D4="1 X"),VLOOKUP($D4,PedTblTijden!$A$16:$X$26,PedTblTijden!F$14,FALSE),"")</f>
        <v/>
      </c>
      <c r="M4" s="15" t="str">
        <f>IF(OR($D4="1 dd",$D4="2 dd",$D4="3 dd",$D4="4 dd",$D4="6 dd",$D4="8 dd",$D4="12 dd",$D4="an",$D4="1 X"),VLOOKUP($D4,PedTblTijden!$A$16:$X$26,PedTblTijden!G$14,FALSE),"")</f>
        <v/>
      </c>
      <c r="N4" s="106" t="str">
        <f>IF(OR($D4="1 dd",$D4="2 dd",$D4="3 dd",$D4="4 dd",$D4="6 dd",$D4="8 dd",$D4="12 dd",$D4="an",$D4="1 X"),VLOOKUP($D4,PedTblTijden!$A$16:$X$26,PedTblTijden!H$14,FALSE),"")</f>
        <v/>
      </c>
      <c r="O4" s="15" t="str">
        <f>IF(OR($D4="1 dd",$D4="2 dd",$D4="3 dd",$D4="4 dd",$D4="6 dd",$D4="8 dd",$D4="12 dd",$D4="an",$D4="1 X"),VLOOKUP($D4,PedTblTijden!$A$16:$X$26,PedTblTijden!I$14,FALSE),"")</f>
        <v/>
      </c>
      <c r="P4" s="106" t="str">
        <f>IF(OR($D4="1 dd",$D4="2 dd",$D4="3 dd",$D4="4 dd",$D4="6 dd",$D4="8 dd",$D4="12 dd",$D4="an",$D4="1 X"),VLOOKUP($D4,PedTblTijden!$A$16:$X$26,PedTblTijden!J$14,FALSE),"")</f>
        <v/>
      </c>
      <c r="Q4" s="15" t="str">
        <f>IF(OR($D4="1 dd",$D4="2 dd",$D4="3 dd",$D4="4 dd",$D4="6 dd",$D4="8 dd",$D4="12 dd",$D4="an",$D4="1 X"),VLOOKUP($D4,PedTblTijden!$A$16:$X$26,PedTblTijden!K$14,FALSE),"")</f>
        <v/>
      </c>
      <c r="R4" s="106" t="str">
        <f>IF(OR($D4="1 dd",$D4="2 dd",$D4="3 dd",$D4="4 dd",$D4="6 dd",$D4="8 dd",$D4="12 dd",$D4="an",$D4="1 X"),VLOOKUP($D4,PedTblTijden!$A$16:$X$26,PedTblTijden!L$14,FALSE),"")</f>
        <v/>
      </c>
      <c r="S4" s="15" t="str">
        <f>IF(OR($D4="1 dd",$D4="2 dd",$D4="3 dd",$D4="4 dd",$D4="6 dd",$D4="8 dd",$D4="12 dd",$D4="an",$D4="1 X"),VLOOKUP($D4,PedTblTijden!$A$16:$X$26,PedTblTijden!M$14,FALSE),"")</f>
        <v/>
      </c>
      <c r="T4" s="106" t="str">
        <f>IF(OR($D4="1 dd",$D4="2 dd",$D4="3 dd",$D4="4 dd",$D4="6 dd",$D4="8 dd",$D4="12 dd",$D4="an",$D4="1 X"),VLOOKUP($D4,PedTblTijden!$A$16:$X$26,PedTblTijden!N$14,FALSE),"")</f>
        <v/>
      </c>
      <c r="U4" s="15" t="str">
        <f>IF(OR($D4="1 dd",$D4="2 dd",$D4="3 dd",$D4="4 dd",$D4="6 dd",$D4="8 dd",$D4="12 dd",$D4="an",$D4="1 X"),VLOOKUP($D4,PedTblTijden!$A$16:$X$26,PedTblTijden!O$14,FALSE),"")</f>
        <v/>
      </c>
      <c r="V4" s="106" t="str">
        <f>IF(OR($D4="1 dd",$D4="2 dd",$D4="3 dd",$D4="4 dd",$D4="6 dd",$D4="8 dd",$D4="12 dd",$D4="an",$D4="1 X"),VLOOKUP($D4,PedTblTijden!$A$16:$X$26,PedTblTijden!P$14,FALSE),"")</f>
        <v/>
      </c>
      <c r="W4" s="15" t="str">
        <f>IF(OR($D4="1 dd",$D4="2 dd",$D4="3 dd",$D4="4 dd",$D4="6 dd",$D4="8 dd",$D4="12 dd",$D4="an",$D4="1 X"),VLOOKUP($D4,PedTblTijden!$A$16:$X$26,PedTblTijden!Q$14,FALSE),"")</f>
        <v/>
      </c>
      <c r="X4" s="106" t="str">
        <f>IF(OR($D4="1 dd",$D4="2 dd",$D4="3 dd",$D4="4 dd",$D4="6 dd",$D4="8 dd",$D4="12 dd",$D4="an",$D4="1 X"),VLOOKUP($D4,PedTblTijden!$A$16:$X$26,PedTblTijden!R$14,FALSE),"")</f>
        <v/>
      </c>
      <c r="Y4" s="15" t="str">
        <f>IF(OR($D4="1 dd",$D4="2 dd",$D4="3 dd",$D4="4 dd",$D4="6 dd",$D4="8 dd",$D4="12 dd",$D4="an",$D4="1 X"),VLOOKUP($D4,PedTblTijden!$A$16:$X$26,PedTblTijden!S$14,FALSE),"")</f>
        <v/>
      </c>
      <c r="Z4" s="106" t="str">
        <f>IF(OR($D4="1 dd",$D4="2 dd",$D4="3 dd",$D4="4 dd",$D4="6 dd",$D4="8 dd",$D4="12 dd",$D4="an",$D4="1 X"),VLOOKUP($D4,PedTblTijden!$A$16:$X$26,PedTblTijden!T$14,FALSE),"")</f>
        <v/>
      </c>
      <c r="AA4" s="15" t="str">
        <f>IF(OR($D4="1 dd",$D4="2 dd",$D4="3 dd",$D4="4 dd",$D4="6 dd",$D4="8 dd",$D4="12 dd",$D4="an",$D4="1 X"),VLOOKUP($D4,PedTblTijden!$A$16:$X$26,PedTblTijden!U$14,FALSE),"")</f>
        <v/>
      </c>
      <c r="AB4" s="106" t="str">
        <f>IF(OR($D4="1 dd",$D4="2 dd",$D4="3 dd",$D4="4 dd",$D4="6 dd",$D4="8 dd",$D4="12 dd",$D4="an",$D4="1 X"),VLOOKUP($D4,PedTblTijden!$A$16:$X$26,PedTblTijden!V$14,FALSE),"")</f>
        <v/>
      </c>
      <c r="AC4" s="15" t="str">
        <f>IF(OR($D4="1 dd",$D4="2 dd",$D4="3 dd",$D4="4 dd",$D4="6 dd",$D4="8 dd",$D4="12 dd",$D4="an",$D4="1 X"),VLOOKUP($D4,PedTblTijden!$A$16:$X$26,PedTblTijden!W$14,FALSE),"")</f>
        <v/>
      </c>
      <c r="AD4" s="106" t="str">
        <f>IF(OR($D4="1 dd",$D4="2 dd",$D4="3 dd",$D4="4 dd",$D4="6 dd",$D4="8 dd",$D4="12 dd",$D4="an",$D4="1 X"),VLOOKUP($D4,PedTblTijden!$A$16:$X$26,PedTblTijden!X$14,FALSE),"")</f>
        <v/>
      </c>
      <c r="AE4" s="17"/>
      <c r="AF4" s="105"/>
      <c r="AG4" s="17"/>
    </row>
    <row r="5" spans="1:33" ht="26.1" customHeight="1" x14ac:dyDescent="0.35">
      <c r="B5" s="107"/>
      <c r="C5" s="231" t="str">
        <f>IF(PedBerMedDisc!C4&lt;&gt;"",IF(PedBerMedDisc!C4&gt;1,TRIM(PedBerMedDisc!C4)&amp;", "&amp;GlobBerOpm!C9&amp;" ("&amp;PedBerMedDisc!M4&amp;" "&amp;PedBerMedDisc!F4&amp;"/kg/dag)",TRIM(PedBerMedDisc!C4)&amp;", "&amp;GlobBerOpm!C9),"")</f>
        <v/>
      </c>
      <c r="D5" s="232" t="str">
        <f>IF(PedGuiMedDisc!H10&lt;&gt;"",PedGuiMedDisc!H10,"")</f>
        <v/>
      </c>
      <c r="E5" s="233" t="str">
        <f>IF(AND(D5&lt;&gt;"",D5&lt;&gt;"STOP"),PedBerMedDisc!H4&amp;" "&amp;PedBerMedDisc!F4,"")</f>
        <v/>
      </c>
      <c r="F5" s="233" t="str">
        <f>IF(AND(D5&lt;&gt;"",D5&lt;&gt;"STOP"),PedBerMedDisc!L4," ")</f>
        <v xml:space="preserve"> </v>
      </c>
      <c r="G5" s="233" t="str">
        <f>IF(PedGuiMedDisc!L10&lt;&gt;"",PedGuiMedDisc!L10&amp;" "&amp;PedGuiMedDisc!M10&amp;" "&amp;INDEX(PedBerMedDisc!$B$27:$B$30,PedBerMedDisc!O4,1)&amp;" in "&amp;PedGuiMedDisc!$O$10,"")</f>
        <v/>
      </c>
      <c r="H5" s="106" t="str">
        <f>IF(OR($D5="1 dd",$D5="2 dd",$D5="3 dd",$D5="4 dd",$D5="6 dd",$D5="8 dd",$D5="12 dd",$D5="an",$D5="1 X"),VLOOKUP($D5,PedTblTijden!$A$16:$X$26,PedTblTijden!B$14,FALSE),"")</f>
        <v/>
      </c>
      <c r="I5" s="15" t="str">
        <f>IF(OR($D5="1 dd",$D5="2 dd",$D5="3 dd",$D5="4 dd",$D5="6 dd",$D5="8 dd",$D5="12 dd",$D5="an",$D5="1 X"),VLOOKUP($D5,PedTblTijden!$A$16:$X$26,PedTblTijden!C$14,FALSE),"")</f>
        <v/>
      </c>
      <c r="J5" s="106" t="str">
        <f>IF(OR($D5="1 dd",$D5="2 dd",$D5="3 dd",$D5="4 dd",$D5="6 dd",$D5="8 dd",$D5="12 dd",$D5="an",$D5="1 X"),VLOOKUP($D5,PedTblTijden!$A$16:$X$26,PedTblTijden!D$14,FALSE),"")</f>
        <v/>
      </c>
      <c r="K5" s="15" t="str">
        <f>IF(OR($D5="1 dd",$D5="2 dd",$D5="3 dd",$D5="4 dd",$D5="6 dd",$D5="8 dd",$D5="12 dd",$D5="an",$D5="1 X"),VLOOKUP($D5,PedTblTijden!$A$16:$X$26,PedTblTijden!E$14,FALSE),"")</f>
        <v/>
      </c>
      <c r="L5" s="106" t="str">
        <f>IF(OR($D5="1 dd",$D5="2 dd",$D5="3 dd",$D5="4 dd",$D5="6 dd",$D5="8 dd",$D5="12 dd",$D5="an",$D5="1 X"),VLOOKUP($D5,PedTblTijden!$A$16:$X$26,PedTblTijden!F$14,FALSE),"")</f>
        <v/>
      </c>
      <c r="M5" s="15" t="str">
        <f>IF(OR($D5="1 dd",$D5="2 dd",$D5="3 dd",$D5="4 dd",$D5="6 dd",$D5="8 dd",$D5="12 dd",$D5="an",$D5="1 X"),VLOOKUP($D5,PedTblTijden!$A$16:$X$26,PedTblTijden!G$14,FALSE),"")</f>
        <v/>
      </c>
      <c r="N5" s="106" t="str">
        <f>IF(OR($D5="1 dd",$D5="2 dd",$D5="3 dd",$D5="4 dd",$D5="6 dd",$D5="8 dd",$D5="12 dd",$D5="an",$D5="1 X"),VLOOKUP($D5,PedTblTijden!$A$16:$X$26,PedTblTijden!H$14,FALSE),"")</f>
        <v/>
      </c>
      <c r="O5" s="15" t="str">
        <f>IF(OR($D5="1 dd",$D5="2 dd",$D5="3 dd",$D5="4 dd",$D5="6 dd",$D5="8 dd",$D5="12 dd",$D5="an",$D5="1 X"),VLOOKUP($D5,PedTblTijden!$A$16:$X$26,PedTblTijden!I$14,FALSE),"")</f>
        <v/>
      </c>
      <c r="P5" s="106" t="str">
        <f>IF(OR($D5="1 dd",$D5="2 dd",$D5="3 dd",$D5="4 dd",$D5="6 dd",$D5="8 dd",$D5="12 dd",$D5="an",$D5="1 X"),VLOOKUP($D5,PedTblTijden!$A$16:$X$26,PedTblTijden!J$14,FALSE),"")</f>
        <v/>
      </c>
      <c r="Q5" s="15" t="str">
        <f>IF(OR($D5="1 dd",$D5="2 dd",$D5="3 dd",$D5="4 dd",$D5="6 dd",$D5="8 dd",$D5="12 dd",$D5="an",$D5="1 X"),VLOOKUP($D5,PedTblTijden!$A$16:$X$26,PedTblTijden!K$14,FALSE),"")</f>
        <v/>
      </c>
      <c r="R5" s="106" t="str">
        <f>IF(OR($D5="1 dd",$D5="2 dd",$D5="3 dd",$D5="4 dd",$D5="6 dd",$D5="8 dd",$D5="12 dd",$D5="an",$D5="1 X"),VLOOKUP($D5,PedTblTijden!$A$16:$X$26,PedTblTijden!L$14,FALSE),"")</f>
        <v/>
      </c>
      <c r="S5" s="15" t="str">
        <f>IF(OR($D5="1 dd",$D5="2 dd",$D5="3 dd",$D5="4 dd",$D5="6 dd",$D5="8 dd",$D5="12 dd",$D5="an",$D5="1 X"),VLOOKUP($D5,PedTblTijden!$A$16:$X$26,PedTblTijden!M$14,FALSE),"")</f>
        <v/>
      </c>
      <c r="T5" s="106" t="str">
        <f>IF(OR($D5="1 dd",$D5="2 dd",$D5="3 dd",$D5="4 dd",$D5="6 dd",$D5="8 dd",$D5="12 dd",$D5="an",$D5="1 X"),VLOOKUP($D5,PedTblTijden!$A$16:$X$26,PedTblTijden!N$14,FALSE),"")</f>
        <v/>
      </c>
      <c r="U5" s="15" t="str">
        <f>IF(OR($D5="1 dd",$D5="2 dd",$D5="3 dd",$D5="4 dd",$D5="6 dd",$D5="8 dd",$D5="12 dd",$D5="an",$D5="1 X"),VLOOKUP($D5,PedTblTijden!$A$16:$X$26,PedTblTijden!O$14,FALSE),"")</f>
        <v/>
      </c>
      <c r="V5" s="106" t="str">
        <f>IF(OR($D5="1 dd",$D5="2 dd",$D5="3 dd",$D5="4 dd",$D5="6 dd",$D5="8 dd",$D5="12 dd",$D5="an",$D5="1 X"),VLOOKUP($D5,PedTblTijden!$A$16:$X$26,PedTblTijden!P$14,FALSE),"")</f>
        <v/>
      </c>
      <c r="W5" s="15" t="str">
        <f>IF(OR($D5="1 dd",$D5="2 dd",$D5="3 dd",$D5="4 dd",$D5="6 dd",$D5="8 dd",$D5="12 dd",$D5="an",$D5="1 X"),VLOOKUP($D5,PedTblTijden!$A$16:$X$26,PedTblTijden!Q$14,FALSE),"")</f>
        <v/>
      </c>
      <c r="X5" s="106" t="str">
        <f>IF(OR($D5="1 dd",$D5="2 dd",$D5="3 dd",$D5="4 dd",$D5="6 dd",$D5="8 dd",$D5="12 dd",$D5="an",$D5="1 X"),VLOOKUP($D5,PedTblTijden!$A$16:$X$26,PedTblTijden!R$14,FALSE),"")</f>
        <v/>
      </c>
      <c r="Y5" s="15" t="str">
        <f>IF(OR($D5="1 dd",$D5="2 dd",$D5="3 dd",$D5="4 dd",$D5="6 dd",$D5="8 dd",$D5="12 dd",$D5="an",$D5="1 X"),VLOOKUP($D5,PedTblTijden!$A$16:$X$26,PedTblTijden!S$14,FALSE),"")</f>
        <v/>
      </c>
      <c r="Z5" s="106" t="str">
        <f>IF(OR($D5="1 dd",$D5="2 dd",$D5="3 dd",$D5="4 dd",$D5="6 dd",$D5="8 dd",$D5="12 dd",$D5="an",$D5="1 X"),VLOOKUP($D5,PedTblTijden!$A$16:$X$26,PedTblTijden!T$14,FALSE),"")</f>
        <v/>
      </c>
      <c r="AA5" s="15" t="str">
        <f>IF(OR($D5="1 dd",$D5="2 dd",$D5="3 dd",$D5="4 dd",$D5="6 dd",$D5="8 dd",$D5="12 dd",$D5="an",$D5="1 X"),VLOOKUP($D5,PedTblTijden!$A$16:$X$26,PedTblTijden!U$14,FALSE),"")</f>
        <v/>
      </c>
      <c r="AB5" s="106" t="str">
        <f>IF(OR($D5="1 dd",$D5="2 dd",$D5="3 dd",$D5="4 dd",$D5="6 dd",$D5="8 dd",$D5="12 dd",$D5="an",$D5="1 X"),VLOOKUP($D5,PedTblTijden!$A$16:$X$26,PedTblTijden!V$14,FALSE),"")</f>
        <v/>
      </c>
      <c r="AC5" s="15" t="str">
        <f>IF(OR($D5="1 dd",$D5="2 dd",$D5="3 dd",$D5="4 dd",$D5="6 dd",$D5="8 dd",$D5="12 dd",$D5="an",$D5="1 X"),VLOOKUP($D5,PedTblTijden!$A$16:$X$26,PedTblTijden!W$14,FALSE),"")</f>
        <v/>
      </c>
      <c r="AD5" s="106" t="str">
        <f>IF(OR($D5="1 dd",$D5="2 dd",$D5="3 dd",$D5="4 dd",$D5="6 dd",$D5="8 dd",$D5="12 dd",$D5="an",$D5="1 X"),VLOOKUP($D5,PedTblTijden!$A$16:$X$26,PedTblTijden!X$14,FALSE),"")</f>
        <v/>
      </c>
      <c r="AE5" s="17"/>
      <c r="AF5" s="105"/>
      <c r="AG5" s="17"/>
    </row>
    <row r="6" spans="1:33" ht="26.1" customHeight="1" x14ac:dyDescent="0.35">
      <c r="A6" s="577"/>
      <c r="B6" s="107"/>
      <c r="C6" s="231" t="str">
        <f>IF(PedBerMedDisc!C5&lt;&gt;"",IF(PedBerMedDisc!C5&gt;1,TRIM(PedBerMedDisc!C5)&amp;", "&amp;GlobBerOpm!C10&amp;" ("&amp;PedBerMedDisc!M5&amp;" "&amp;PedBerMedDisc!F5&amp;"/kg/dag)",TRIM(PedBerMedDisc!C5)&amp;", "&amp;GlobBerOpm!C10),"")</f>
        <v/>
      </c>
      <c r="D6" s="232" t="str">
        <f>IF(PedGuiMedDisc!H12&lt;&gt;"",PedGuiMedDisc!H12,"")</f>
        <v/>
      </c>
      <c r="E6" s="233" t="str">
        <f>IF(AND(D6&lt;&gt;"",D6&lt;&gt;"STOP"),PedBerMedDisc!H5&amp;" "&amp;PedBerMedDisc!F5,"")</f>
        <v/>
      </c>
      <c r="F6" s="233" t="str">
        <f>IF(AND(D6&lt;&gt;"",D6&lt;&gt;"STOP"),PedBerMedDisc!L5," ")</f>
        <v xml:space="preserve"> </v>
      </c>
      <c r="G6" s="233" t="str">
        <f>IF(PedGuiMedDisc!L12&lt;&gt;"",PedGuiMedDisc!L12&amp;" "&amp;PedGuiMedDisc!M12&amp;" "&amp;INDEX(PedBerMedDisc!$B$27:$B$30,PedBerMedDisc!O5,1)&amp;" in "&amp;PedGuiMedDisc!$O$12,"")</f>
        <v/>
      </c>
      <c r="H6" s="106" t="str">
        <f>IF(OR($D6="1 dd",$D6="2 dd",$D6="3 dd",$D6="4 dd",$D6="6 dd",$D6="8 dd",$D6="12 dd",$D6="an",$D6="1 X"),VLOOKUP($D6,PedTblTijden!$A$16:$X$26,PedTblTijden!B$14,FALSE),"")</f>
        <v/>
      </c>
      <c r="I6" s="15" t="str">
        <f>IF(OR($D6="1 dd",$D6="2 dd",$D6="3 dd",$D6="4 dd",$D6="6 dd",$D6="8 dd",$D6="12 dd",$D6="an",$D6="1 X"),VLOOKUP($D6,PedTblTijden!$A$16:$X$26,PedTblTijden!C$14,FALSE),"")</f>
        <v/>
      </c>
      <c r="J6" s="106" t="str">
        <f>IF(OR($D6="1 dd",$D6="2 dd",$D6="3 dd",$D6="4 dd",$D6="6 dd",$D6="8 dd",$D6="12 dd",$D6="an",$D6="1 X"),VLOOKUP($D6,PedTblTijden!$A$16:$X$26,PedTblTijden!D$14,FALSE),"")</f>
        <v/>
      </c>
      <c r="K6" s="15" t="str">
        <f>IF(OR($D6="1 dd",$D6="2 dd",$D6="3 dd",$D6="4 dd",$D6="6 dd",$D6="8 dd",$D6="12 dd",$D6="an",$D6="1 X"),VLOOKUP($D6,PedTblTijden!$A$16:$X$26,PedTblTijden!E$14,FALSE),"")</f>
        <v/>
      </c>
      <c r="L6" s="106" t="str">
        <f>IF(OR($D6="1 dd",$D6="2 dd",$D6="3 dd",$D6="4 dd",$D6="6 dd",$D6="8 dd",$D6="12 dd",$D6="an",$D6="1 X"),VLOOKUP($D6,PedTblTijden!$A$16:$X$26,PedTblTijden!F$14,FALSE),"")</f>
        <v/>
      </c>
      <c r="M6" s="15" t="str">
        <f>IF(OR($D6="1 dd",$D6="2 dd",$D6="3 dd",$D6="4 dd",$D6="6 dd",$D6="8 dd",$D6="12 dd",$D6="an",$D6="1 X"),VLOOKUP($D6,PedTblTijden!$A$16:$X$26,PedTblTijden!G$14,FALSE),"")</f>
        <v/>
      </c>
      <c r="N6" s="106" t="str">
        <f>IF(OR($D6="1 dd",$D6="2 dd",$D6="3 dd",$D6="4 dd",$D6="6 dd",$D6="8 dd",$D6="12 dd",$D6="an",$D6="1 X"),VLOOKUP($D6,PedTblTijden!$A$16:$X$26,PedTblTijden!H$14,FALSE),"")</f>
        <v/>
      </c>
      <c r="O6" s="15" t="str">
        <f>IF(OR($D6="1 dd",$D6="2 dd",$D6="3 dd",$D6="4 dd",$D6="6 dd",$D6="8 dd",$D6="12 dd",$D6="an",$D6="1 X"),VLOOKUP($D6,PedTblTijden!$A$16:$X$26,PedTblTijden!I$14,FALSE),"")</f>
        <v/>
      </c>
      <c r="P6" s="106" t="str">
        <f>IF(OR($D6="1 dd",$D6="2 dd",$D6="3 dd",$D6="4 dd",$D6="6 dd",$D6="8 dd",$D6="12 dd",$D6="an",$D6="1 X"),VLOOKUP($D6,PedTblTijden!$A$16:$X$26,PedTblTijden!J$14,FALSE),"")</f>
        <v/>
      </c>
      <c r="Q6" s="15" t="str">
        <f>IF(OR($D6="1 dd",$D6="2 dd",$D6="3 dd",$D6="4 dd",$D6="6 dd",$D6="8 dd",$D6="12 dd",$D6="an",$D6="1 X"),VLOOKUP($D6,PedTblTijden!$A$16:$X$26,PedTblTijden!K$14,FALSE),"")</f>
        <v/>
      </c>
      <c r="R6" s="106" t="str">
        <f>IF(OR($D6="1 dd",$D6="2 dd",$D6="3 dd",$D6="4 dd",$D6="6 dd",$D6="8 dd",$D6="12 dd",$D6="an",$D6="1 X"),VLOOKUP($D6,PedTblTijden!$A$16:$X$26,PedTblTijden!L$14,FALSE),"")</f>
        <v/>
      </c>
      <c r="S6" s="15" t="str">
        <f>IF(OR($D6="1 dd",$D6="2 dd",$D6="3 dd",$D6="4 dd",$D6="6 dd",$D6="8 dd",$D6="12 dd",$D6="an",$D6="1 X"),VLOOKUP($D6,PedTblTijden!$A$16:$X$26,PedTblTijden!M$14,FALSE),"")</f>
        <v/>
      </c>
      <c r="T6" s="106" t="str">
        <f>IF(OR($D6="1 dd",$D6="2 dd",$D6="3 dd",$D6="4 dd",$D6="6 dd",$D6="8 dd",$D6="12 dd",$D6="an",$D6="1 X"),VLOOKUP($D6,PedTblTijden!$A$16:$X$26,PedTblTijden!N$14,FALSE),"")</f>
        <v/>
      </c>
      <c r="U6" s="15" t="str">
        <f>IF(OR($D6="1 dd",$D6="2 dd",$D6="3 dd",$D6="4 dd",$D6="6 dd",$D6="8 dd",$D6="12 dd",$D6="an",$D6="1 X"),VLOOKUP($D6,PedTblTijden!$A$16:$X$26,PedTblTijden!O$14,FALSE),"")</f>
        <v/>
      </c>
      <c r="V6" s="106" t="str">
        <f>IF(OR($D6="1 dd",$D6="2 dd",$D6="3 dd",$D6="4 dd",$D6="6 dd",$D6="8 dd",$D6="12 dd",$D6="an",$D6="1 X"),VLOOKUP($D6,PedTblTijden!$A$16:$X$26,PedTblTijden!P$14,FALSE),"")</f>
        <v/>
      </c>
      <c r="W6" s="15" t="str">
        <f>IF(OR($D6="1 dd",$D6="2 dd",$D6="3 dd",$D6="4 dd",$D6="6 dd",$D6="8 dd",$D6="12 dd",$D6="an",$D6="1 X"),VLOOKUP($D6,PedTblTijden!$A$16:$X$26,PedTblTijden!Q$14,FALSE),"")</f>
        <v/>
      </c>
      <c r="X6" s="106" t="str">
        <f>IF(OR($D6="1 dd",$D6="2 dd",$D6="3 dd",$D6="4 dd",$D6="6 dd",$D6="8 dd",$D6="12 dd",$D6="an",$D6="1 X"),VLOOKUP($D6,PedTblTijden!$A$16:$X$26,PedTblTijden!R$14,FALSE),"")</f>
        <v/>
      </c>
      <c r="Y6" s="15" t="str">
        <f>IF(OR($D6="1 dd",$D6="2 dd",$D6="3 dd",$D6="4 dd",$D6="6 dd",$D6="8 dd",$D6="12 dd",$D6="an",$D6="1 X"),VLOOKUP($D6,PedTblTijden!$A$16:$X$26,PedTblTijden!S$14,FALSE),"")</f>
        <v/>
      </c>
      <c r="Z6" s="106" t="str">
        <f>IF(OR($D6="1 dd",$D6="2 dd",$D6="3 dd",$D6="4 dd",$D6="6 dd",$D6="8 dd",$D6="12 dd",$D6="an",$D6="1 X"),VLOOKUP($D6,PedTblTijden!$A$16:$X$26,PedTblTijden!T$14,FALSE),"")</f>
        <v/>
      </c>
      <c r="AA6" s="15" t="str">
        <f>IF(OR($D6="1 dd",$D6="2 dd",$D6="3 dd",$D6="4 dd",$D6="6 dd",$D6="8 dd",$D6="12 dd",$D6="an",$D6="1 X"),VLOOKUP($D6,PedTblTijden!$A$16:$X$26,PedTblTijden!U$14,FALSE),"")</f>
        <v/>
      </c>
      <c r="AB6" s="106" t="str">
        <f>IF(OR($D6="1 dd",$D6="2 dd",$D6="3 dd",$D6="4 dd",$D6="6 dd",$D6="8 dd",$D6="12 dd",$D6="an",$D6="1 X"),VLOOKUP($D6,PedTblTijden!$A$16:$X$26,PedTblTijden!V$14,FALSE),"")</f>
        <v/>
      </c>
      <c r="AC6" s="15" t="str">
        <f>IF(OR($D6="1 dd",$D6="2 dd",$D6="3 dd",$D6="4 dd",$D6="6 dd",$D6="8 dd",$D6="12 dd",$D6="an",$D6="1 X"),VLOOKUP($D6,PedTblTijden!$A$16:$X$26,PedTblTijden!W$14,FALSE),"")</f>
        <v/>
      </c>
      <c r="AD6" s="106" t="str">
        <f>IF(OR($D6="1 dd",$D6="2 dd",$D6="3 dd",$D6="4 dd",$D6="6 dd",$D6="8 dd",$D6="12 dd",$D6="an",$D6="1 X"),VLOOKUP($D6,PedTblTijden!$A$16:$X$26,PedTblTijden!X$14,FALSE),"")</f>
        <v/>
      </c>
      <c r="AE6" s="17"/>
      <c r="AF6" s="105"/>
      <c r="AG6" s="17"/>
    </row>
    <row r="7" spans="1:33" ht="26.1" customHeight="1" x14ac:dyDescent="0.35">
      <c r="B7" s="107"/>
      <c r="C7" s="231" t="str">
        <f>IF(PedBerMedDisc!C6&lt;&gt;"",IF(PedBerMedDisc!C6&gt;1,TRIM(PedBerMedDisc!C6)&amp;", "&amp;GlobBerOpm!C11&amp;" ("&amp;PedBerMedDisc!M6&amp;" "&amp;PedBerMedDisc!F6&amp;"/kg/dag)",TRIM(PedBerMedDisc!C6)&amp;", "&amp;GlobBerOpm!C11),"")</f>
        <v/>
      </c>
      <c r="D7" s="232" t="str">
        <f>IF(PedGuiMedDisc!H14&lt;&gt;"",PedGuiMedDisc!H14,"")</f>
        <v/>
      </c>
      <c r="E7" s="233" t="str">
        <f>IF(AND(D7&lt;&gt;"",D7&lt;&gt;"STOP"),PedBerMedDisc!H6&amp;" "&amp;PedBerMedDisc!F6,"")</f>
        <v/>
      </c>
      <c r="F7" s="233" t="str">
        <f>IF(AND(D7&lt;&gt;"",D7&lt;&gt;"STOP"),PedBerMedDisc!L6," ")</f>
        <v xml:space="preserve"> </v>
      </c>
      <c r="G7" s="233" t="str">
        <f>IF(PedGuiMedDisc!L14&lt;&gt;"",PedGuiMedDisc!L14&amp;" "&amp;PedGuiMedDisc!M14&amp;" "&amp;INDEX(PedBerMedDisc!$B$27:$B$30,PedBerMedDisc!O6,1)&amp;" in "&amp;PedGuiMedDisc!$O$14,"")</f>
        <v/>
      </c>
      <c r="H7" s="106" t="str">
        <f>IF(OR($D7="1 dd",$D7="2 dd",$D7="3 dd",$D7="4 dd",$D7="6 dd",$D7="8 dd",$D7="12 dd",$D7="an",$D7="1 X"),VLOOKUP($D7,PedTblTijden!$A$16:$X$26,PedTblTijden!B$14,FALSE),"")</f>
        <v/>
      </c>
      <c r="I7" s="15" t="str">
        <f>IF(OR($D7="1 dd",$D7="2 dd",$D7="3 dd",$D7="4 dd",$D7="6 dd",$D7="8 dd",$D7="12 dd",$D7="an",$D7="1 X"),VLOOKUP($D7,PedTblTijden!$A$16:$X$26,PedTblTijden!C$14,FALSE),"")</f>
        <v/>
      </c>
      <c r="J7" s="106" t="str">
        <f>IF(OR($D7="1 dd",$D7="2 dd",$D7="3 dd",$D7="4 dd",$D7="6 dd",$D7="8 dd",$D7="12 dd",$D7="an",$D7="1 X"),VLOOKUP($D7,PedTblTijden!$A$16:$X$26,PedTblTijden!D$14,FALSE),"")</f>
        <v/>
      </c>
      <c r="K7" s="15" t="str">
        <f>IF(OR($D7="1 dd",$D7="2 dd",$D7="3 dd",$D7="4 dd",$D7="6 dd",$D7="8 dd",$D7="12 dd",$D7="an",$D7="1 X"),VLOOKUP($D7,PedTblTijden!$A$16:$X$26,PedTblTijden!E$14,FALSE),"")</f>
        <v/>
      </c>
      <c r="L7" s="106" t="str">
        <f>IF(OR($D7="1 dd",$D7="2 dd",$D7="3 dd",$D7="4 dd",$D7="6 dd",$D7="8 dd",$D7="12 dd",$D7="an",$D7="1 X"),VLOOKUP($D7,PedTblTijden!$A$16:$X$26,PedTblTijden!F$14,FALSE),"")</f>
        <v/>
      </c>
      <c r="M7" s="15" t="str">
        <f>IF(OR($D7="1 dd",$D7="2 dd",$D7="3 dd",$D7="4 dd",$D7="6 dd",$D7="8 dd",$D7="12 dd",$D7="an",$D7="1 X"),VLOOKUP($D7,PedTblTijden!$A$16:$X$26,PedTblTijden!G$14,FALSE),"")</f>
        <v/>
      </c>
      <c r="N7" s="106" t="str">
        <f>IF(OR($D7="1 dd",$D7="2 dd",$D7="3 dd",$D7="4 dd",$D7="6 dd",$D7="8 dd",$D7="12 dd",$D7="an",$D7="1 X"),VLOOKUP($D7,PedTblTijden!$A$16:$X$26,PedTblTijden!H$14,FALSE),"")</f>
        <v/>
      </c>
      <c r="O7" s="15" t="str">
        <f>IF(OR($D7="1 dd",$D7="2 dd",$D7="3 dd",$D7="4 dd",$D7="6 dd",$D7="8 dd",$D7="12 dd",$D7="an",$D7="1 X"),VLOOKUP($D7,PedTblTijden!$A$16:$X$26,PedTblTijden!I$14,FALSE),"")</f>
        <v/>
      </c>
      <c r="P7" s="106" t="str">
        <f>IF(OR($D7="1 dd",$D7="2 dd",$D7="3 dd",$D7="4 dd",$D7="6 dd",$D7="8 dd",$D7="12 dd",$D7="an",$D7="1 X"),VLOOKUP($D7,PedTblTijden!$A$16:$X$26,PedTblTijden!J$14,FALSE),"")</f>
        <v/>
      </c>
      <c r="Q7" s="15" t="str">
        <f>IF(OR($D7="1 dd",$D7="2 dd",$D7="3 dd",$D7="4 dd",$D7="6 dd",$D7="8 dd",$D7="12 dd",$D7="an",$D7="1 X"),VLOOKUP($D7,PedTblTijden!$A$16:$X$26,PedTblTijden!K$14,FALSE),"")</f>
        <v/>
      </c>
      <c r="R7" s="106" t="str">
        <f>IF(OR($D7="1 dd",$D7="2 dd",$D7="3 dd",$D7="4 dd",$D7="6 dd",$D7="8 dd",$D7="12 dd",$D7="an",$D7="1 X"),VLOOKUP($D7,PedTblTijden!$A$16:$X$26,PedTblTijden!L$14,FALSE),"")</f>
        <v/>
      </c>
      <c r="S7" s="15" t="str">
        <f>IF(OR($D7="1 dd",$D7="2 dd",$D7="3 dd",$D7="4 dd",$D7="6 dd",$D7="8 dd",$D7="12 dd",$D7="an",$D7="1 X"),VLOOKUP($D7,PedTblTijden!$A$16:$X$26,PedTblTijden!M$14,FALSE),"")</f>
        <v/>
      </c>
      <c r="T7" s="106" t="str">
        <f>IF(OR($D7="1 dd",$D7="2 dd",$D7="3 dd",$D7="4 dd",$D7="6 dd",$D7="8 dd",$D7="12 dd",$D7="an",$D7="1 X"),VLOOKUP($D7,PedTblTijden!$A$16:$X$26,PedTblTijden!N$14,FALSE),"")</f>
        <v/>
      </c>
      <c r="U7" s="15" t="str">
        <f>IF(OR($D7="1 dd",$D7="2 dd",$D7="3 dd",$D7="4 dd",$D7="6 dd",$D7="8 dd",$D7="12 dd",$D7="an",$D7="1 X"),VLOOKUP($D7,PedTblTijden!$A$16:$X$26,PedTblTijden!O$14,FALSE),"")</f>
        <v/>
      </c>
      <c r="V7" s="106" t="str">
        <f>IF(OR($D7="1 dd",$D7="2 dd",$D7="3 dd",$D7="4 dd",$D7="6 dd",$D7="8 dd",$D7="12 dd",$D7="an",$D7="1 X"),VLOOKUP($D7,PedTblTijden!$A$16:$X$26,PedTblTijden!P$14,FALSE),"")</f>
        <v/>
      </c>
      <c r="W7" s="15" t="str">
        <f>IF(OR($D7="1 dd",$D7="2 dd",$D7="3 dd",$D7="4 dd",$D7="6 dd",$D7="8 dd",$D7="12 dd",$D7="an",$D7="1 X"),VLOOKUP($D7,PedTblTijden!$A$16:$X$26,PedTblTijden!Q$14,FALSE),"")</f>
        <v/>
      </c>
      <c r="X7" s="106" t="str">
        <f>IF(OR($D7="1 dd",$D7="2 dd",$D7="3 dd",$D7="4 dd",$D7="6 dd",$D7="8 dd",$D7="12 dd",$D7="an",$D7="1 X"),VLOOKUP($D7,PedTblTijden!$A$16:$X$26,PedTblTijden!R$14,FALSE),"")</f>
        <v/>
      </c>
      <c r="Y7" s="15" t="str">
        <f>IF(OR($D7="1 dd",$D7="2 dd",$D7="3 dd",$D7="4 dd",$D7="6 dd",$D7="8 dd",$D7="12 dd",$D7="an",$D7="1 X"),VLOOKUP($D7,PedTblTijden!$A$16:$X$26,PedTblTijden!S$14,FALSE),"")</f>
        <v/>
      </c>
      <c r="Z7" s="106" t="str">
        <f>IF(OR($D7="1 dd",$D7="2 dd",$D7="3 dd",$D7="4 dd",$D7="6 dd",$D7="8 dd",$D7="12 dd",$D7="an",$D7="1 X"),VLOOKUP($D7,PedTblTijden!$A$16:$X$26,PedTblTijden!T$14,FALSE),"")</f>
        <v/>
      </c>
      <c r="AA7" s="15" t="str">
        <f>IF(OR($D7="1 dd",$D7="2 dd",$D7="3 dd",$D7="4 dd",$D7="6 dd",$D7="8 dd",$D7="12 dd",$D7="an",$D7="1 X"),VLOOKUP($D7,PedTblTijden!$A$16:$X$26,PedTblTijden!U$14,FALSE),"")</f>
        <v/>
      </c>
      <c r="AB7" s="106" t="str">
        <f>IF(OR($D7="1 dd",$D7="2 dd",$D7="3 dd",$D7="4 dd",$D7="6 dd",$D7="8 dd",$D7="12 dd",$D7="an",$D7="1 X"),VLOOKUP($D7,PedTblTijden!$A$16:$X$26,PedTblTijden!V$14,FALSE),"")</f>
        <v/>
      </c>
      <c r="AC7" s="15" t="str">
        <f>IF(OR($D7="1 dd",$D7="2 dd",$D7="3 dd",$D7="4 dd",$D7="6 dd",$D7="8 dd",$D7="12 dd",$D7="an",$D7="1 X"),VLOOKUP($D7,PedTblTijden!$A$16:$X$26,PedTblTijden!W$14,FALSE),"")</f>
        <v/>
      </c>
      <c r="AD7" s="106" t="str">
        <f>IF(OR($D7="1 dd",$D7="2 dd",$D7="3 dd",$D7="4 dd",$D7="6 dd",$D7="8 dd",$D7="12 dd",$D7="an",$D7="1 X"),VLOOKUP($D7,PedTblTijden!$A$16:$X$26,PedTblTijden!X$14,FALSE),"")</f>
        <v/>
      </c>
      <c r="AE7" s="17"/>
      <c r="AF7" s="105"/>
      <c r="AG7" s="17"/>
    </row>
    <row r="8" spans="1:33" ht="26.1" customHeight="1" x14ac:dyDescent="0.35">
      <c r="B8" s="107"/>
      <c r="C8" s="231" t="str">
        <f>IF(PedBerMedDisc!C7&lt;&gt;"",IF(PedBerMedDisc!C7&gt;1,TRIM(PedBerMedDisc!C7)&amp;", "&amp;GlobBerOpm!C12&amp;" ("&amp;PedBerMedDisc!M7&amp;" "&amp;PedBerMedDisc!F7&amp;"/kg/dag)",TRIM(PedBerMedDisc!C7)&amp;", "&amp;GlobBerOpm!C12),"")</f>
        <v/>
      </c>
      <c r="D8" s="232" t="str">
        <f>IF(PedGuiMedDisc!H16&lt;&gt;"",PedGuiMedDisc!H16,"")</f>
        <v/>
      </c>
      <c r="E8" s="233" t="str">
        <f>IF(AND(D8&lt;&gt;"",D8&lt;&gt;"STOP"),PedBerMedDisc!H7&amp;" "&amp;PedBerMedDisc!F7,"")</f>
        <v/>
      </c>
      <c r="F8" s="233" t="str">
        <f>IF(AND(D8&lt;&gt;"",D8&lt;&gt;"STOP"),PedBerMedDisc!L7," ")</f>
        <v xml:space="preserve"> </v>
      </c>
      <c r="G8" s="233" t="str">
        <f>IF(PedGuiMedDisc!L16&lt;&gt;"",PedGuiMedDisc!L16&amp;" "&amp;PedGuiMedDisc!M16&amp;" "&amp;INDEX(PedBerMedDisc!$B$27:$B$30,PedBerMedDisc!O7,1)&amp;" in "&amp;PedGuiMedDisc!$O$16,"")</f>
        <v/>
      </c>
      <c r="H8" s="106" t="str">
        <f>IF(OR($D8="1 dd",$D8="2 dd",$D8="3 dd",$D8="4 dd",$D8="6 dd",$D8="8 dd",$D8="12 dd",$D8="an",$D8="1 X"),VLOOKUP($D8,PedTblTijden!$A$16:$X$26,PedTblTijden!B$14,FALSE),"")</f>
        <v/>
      </c>
      <c r="I8" s="15" t="str">
        <f>IF(OR($D8="1 dd",$D8="2 dd",$D8="3 dd",$D8="4 dd",$D8="6 dd",$D8="8 dd",$D8="12 dd",$D8="an",$D8="1 X"),VLOOKUP($D8,PedTblTijden!$A$16:$X$26,PedTblTijden!C$14,FALSE),"")</f>
        <v/>
      </c>
      <c r="J8" s="106" t="str">
        <f>IF(OR($D8="1 dd",$D8="2 dd",$D8="3 dd",$D8="4 dd",$D8="6 dd",$D8="8 dd",$D8="12 dd",$D8="an",$D8="1 X"),VLOOKUP($D8,PedTblTijden!$A$16:$X$26,PedTblTijden!D$14,FALSE),"")</f>
        <v/>
      </c>
      <c r="K8" s="15" t="str">
        <f>IF(OR($D8="1 dd",$D8="2 dd",$D8="3 dd",$D8="4 dd",$D8="6 dd",$D8="8 dd",$D8="12 dd",$D8="an",$D8="1 X"),VLOOKUP($D8,PedTblTijden!$A$16:$X$26,PedTblTijden!E$14,FALSE),"")</f>
        <v/>
      </c>
      <c r="L8" s="106" t="str">
        <f>IF(OR($D8="1 dd",$D8="2 dd",$D8="3 dd",$D8="4 dd",$D8="6 dd",$D8="8 dd",$D8="12 dd",$D8="an",$D8="1 X"),VLOOKUP($D8,PedTblTijden!$A$16:$X$26,PedTblTijden!F$14,FALSE),"")</f>
        <v/>
      </c>
      <c r="M8" s="15" t="str">
        <f>IF(OR($D8="1 dd",$D8="2 dd",$D8="3 dd",$D8="4 dd",$D8="6 dd",$D8="8 dd",$D8="12 dd",$D8="an",$D8="1 X"),VLOOKUP($D8,PedTblTijden!$A$16:$X$26,PedTblTijden!G$14,FALSE),"")</f>
        <v/>
      </c>
      <c r="N8" s="106" t="str">
        <f>IF(OR($D8="1 dd",$D8="2 dd",$D8="3 dd",$D8="4 dd",$D8="6 dd",$D8="8 dd",$D8="12 dd",$D8="an",$D8="1 X"),VLOOKUP($D8,PedTblTijden!$A$16:$X$26,PedTblTijden!H$14,FALSE),"")</f>
        <v/>
      </c>
      <c r="O8" s="15" t="str">
        <f>IF(OR($D8="1 dd",$D8="2 dd",$D8="3 dd",$D8="4 dd",$D8="6 dd",$D8="8 dd",$D8="12 dd",$D8="an",$D8="1 X"),VLOOKUP($D8,PedTblTijden!$A$16:$X$26,PedTblTijden!I$14,FALSE),"")</f>
        <v/>
      </c>
      <c r="P8" s="106" t="str">
        <f>IF(OR($D8="1 dd",$D8="2 dd",$D8="3 dd",$D8="4 dd",$D8="6 dd",$D8="8 dd",$D8="12 dd",$D8="an",$D8="1 X"),VLOOKUP($D8,PedTblTijden!$A$16:$X$26,PedTblTijden!J$14,FALSE),"")</f>
        <v/>
      </c>
      <c r="Q8" s="15" t="str">
        <f>IF(OR($D8="1 dd",$D8="2 dd",$D8="3 dd",$D8="4 dd",$D8="6 dd",$D8="8 dd",$D8="12 dd",$D8="an",$D8="1 X"),VLOOKUP($D8,PedTblTijden!$A$16:$X$26,PedTblTijden!K$14,FALSE),"")</f>
        <v/>
      </c>
      <c r="R8" s="106" t="str">
        <f>IF(OR($D8="1 dd",$D8="2 dd",$D8="3 dd",$D8="4 dd",$D8="6 dd",$D8="8 dd",$D8="12 dd",$D8="an",$D8="1 X"),VLOOKUP($D8,PedTblTijden!$A$16:$X$26,PedTblTijden!L$14,FALSE),"")</f>
        <v/>
      </c>
      <c r="S8" s="15" t="str">
        <f>IF(OR($D8="1 dd",$D8="2 dd",$D8="3 dd",$D8="4 dd",$D8="6 dd",$D8="8 dd",$D8="12 dd",$D8="an",$D8="1 X"),VLOOKUP($D8,PedTblTijden!$A$16:$X$26,PedTblTijden!M$14,FALSE),"")</f>
        <v/>
      </c>
      <c r="T8" s="106" t="str">
        <f>IF(OR($D8="1 dd",$D8="2 dd",$D8="3 dd",$D8="4 dd",$D8="6 dd",$D8="8 dd",$D8="12 dd",$D8="an",$D8="1 X"),VLOOKUP($D8,PedTblTijden!$A$16:$X$26,PedTblTijden!N$14,FALSE),"")</f>
        <v/>
      </c>
      <c r="U8" s="15" t="str">
        <f>IF(OR($D8="1 dd",$D8="2 dd",$D8="3 dd",$D8="4 dd",$D8="6 dd",$D8="8 dd",$D8="12 dd",$D8="an",$D8="1 X"),VLOOKUP($D8,PedTblTijden!$A$16:$X$26,PedTblTijden!O$14,FALSE),"")</f>
        <v/>
      </c>
      <c r="V8" s="106" t="str">
        <f>IF(OR($D8="1 dd",$D8="2 dd",$D8="3 dd",$D8="4 dd",$D8="6 dd",$D8="8 dd",$D8="12 dd",$D8="an",$D8="1 X"),VLOOKUP($D8,PedTblTijden!$A$16:$X$26,PedTblTijden!P$14,FALSE),"")</f>
        <v/>
      </c>
      <c r="W8" s="15" t="str">
        <f>IF(OR($D8="1 dd",$D8="2 dd",$D8="3 dd",$D8="4 dd",$D8="6 dd",$D8="8 dd",$D8="12 dd",$D8="an",$D8="1 X"),VLOOKUP($D8,PedTblTijden!$A$16:$X$26,PedTblTijden!Q$14,FALSE),"")</f>
        <v/>
      </c>
      <c r="X8" s="106" t="str">
        <f>IF(OR($D8="1 dd",$D8="2 dd",$D8="3 dd",$D8="4 dd",$D8="6 dd",$D8="8 dd",$D8="12 dd",$D8="an",$D8="1 X"),VLOOKUP($D8,PedTblTijden!$A$16:$X$26,PedTblTijden!R$14,FALSE),"")</f>
        <v/>
      </c>
      <c r="Y8" s="15" t="str">
        <f>IF(OR($D8="1 dd",$D8="2 dd",$D8="3 dd",$D8="4 dd",$D8="6 dd",$D8="8 dd",$D8="12 dd",$D8="an",$D8="1 X"),VLOOKUP($D8,PedTblTijden!$A$16:$X$26,PedTblTijden!S$14,FALSE),"")</f>
        <v/>
      </c>
      <c r="Z8" s="106" t="str">
        <f>IF(OR($D8="1 dd",$D8="2 dd",$D8="3 dd",$D8="4 dd",$D8="6 dd",$D8="8 dd",$D8="12 dd",$D8="an",$D8="1 X"),VLOOKUP($D8,PedTblTijden!$A$16:$X$26,PedTblTijden!T$14,FALSE),"")</f>
        <v/>
      </c>
      <c r="AA8" s="15" t="str">
        <f>IF(OR($D8="1 dd",$D8="2 dd",$D8="3 dd",$D8="4 dd",$D8="6 dd",$D8="8 dd",$D8="12 dd",$D8="an",$D8="1 X"),VLOOKUP($D8,PedTblTijden!$A$16:$X$26,PedTblTijden!U$14,FALSE),"")</f>
        <v/>
      </c>
      <c r="AB8" s="106" t="str">
        <f>IF(OR($D8="1 dd",$D8="2 dd",$D8="3 dd",$D8="4 dd",$D8="6 dd",$D8="8 dd",$D8="12 dd",$D8="an",$D8="1 X"),VLOOKUP($D8,PedTblTijden!$A$16:$X$26,PedTblTijden!V$14,FALSE),"")</f>
        <v/>
      </c>
      <c r="AC8" s="15" t="str">
        <f>IF(OR($D8="1 dd",$D8="2 dd",$D8="3 dd",$D8="4 dd",$D8="6 dd",$D8="8 dd",$D8="12 dd",$D8="an",$D8="1 X"),VLOOKUP($D8,PedTblTijden!$A$16:$X$26,PedTblTijden!W$14,FALSE),"")</f>
        <v/>
      </c>
      <c r="AD8" s="106" t="str">
        <f>IF(OR($D8="1 dd",$D8="2 dd",$D8="3 dd",$D8="4 dd",$D8="6 dd",$D8="8 dd",$D8="12 dd",$D8="an",$D8="1 X"),VLOOKUP($D8,PedTblTijden!$A$16:$X$26,PedTblTijden!X$14,FALSE),"")</f>
        <v/>
      </c>
      <c r="AE8" s="17"/>
      <c r="AF8" s="105"/>
      <c r="AG8" s="17"/>
    </row>
    <row r="9" spans="1:33" ht="26.1" customHeight="1" x14ac:dyDescent="0.35">
      <c r="B9" s="107"/>
      <c r="C9" s="231" t="str">
        <f>IF(PedBerMedDisc!C8&lt;&gt;"",IF(PedBerMedDisc!C8&gt;1,TRIM(PedBerMedDisc!C8)&amp;", "&amp;GlobBerOpm!C13&amp;" ("&amp;PedBerMedDisc!M8&amp;" "&amp;PedBerMedDisc!F8&amp;"/kg/dag)",TRIM(PedBerMedDisc!C8)&amp;", "&amp;GlobBerOpm!C13),"")</f>
        <v/>
      </c>
      <c r="D9" s="232" t="str">
        <f>IF(PedGuiMedDisc!H18&lt;&gt;"",PedGuiMedDisc!H18,"")</f>
        <v/>
      </c>
      <c r="E9" s="233" t="str">
        <f>IF(AND(D9&lt;&gt;"",D9&lt;&gt;"STOP"),PedBerMedDisc!H8&amp;" "&amp;PedBerMedDisc!F8,"")</f>
        <v/>
      </c>
      <c r="F9" s="233" t="str">
        <f>IF(AND(D9&lt;&gt;"",D9&lt;&gt;"STOP"),PedBerMedDisc!L8," ")</f>
        <v xml:space="preserve"> </v>
      </c>
      <c r="G9" s="233" t="str">
        <f>IF(PedGuiMedDisc!L18&lt;&gt;"",PedGuiMedDisc!L18&amp;" "&amp;PedGuiMedDisc!M18&amp;" "&amp;INDEX(PedBerMedDisc!$B$27:$B$30,PedBerMedDisc!O8,1)&amp;" in "&amp;PedGuiMedDisc!$O$18,"")</f>
        <v/>
      </c>
      <c r="H9" s="106" t="str">
        <f>IF(OR($D9="1 dd",$D9="2 dd",$D9="3 dd",$D9="4 dd",$D9="6 dd",$D9="8 dd",$D9="12 dd",$D9="an",$D9="1 X"),VLOOKUP($D9,PedTblTijden!$A$16:$X$26,PedTblTijden!B$14,FALSE),"")</f>
        <v/>
      </c>
      <c r="I9" s="15" t="str">
        <f>IF(OR($D9="1 dd",$D9="2 dd",$D9="3 dd",$D9="4 dd",$D9="6 dd",$D9="8 dd",$D9="12 dd",$D9="an",$D9="1 X"),VLOOKUP($D9,PedTblTijden!$A$16:$X$26,PedTblTijden!C$14,FALSE),"")</f>
        <v/>
      </c>
      <c r="J9" s="106" t="str">
        <f>IF(OR($D9="1 dd",$D9="2 dd",$D9="3 dd",$D9="4 dd",$D9="6 dd",$D9="8 dd",$D9="12 dd",$D9="an",$D9="1 X"),VLOOKUP($D9,PedTblTijden!$A$16:$X$26,PedTblTijden!D$14,FALSE),"")</f>
        <v/>
      </c>
      <c r="K9" s="15" t="str">
        <f>IF(OR($D9="1 dd",$D9="2 dd",$D9="3 dd",$D9="4 dd",$D9="6 dd",$D9="8 dd",$D9="12 dd",$D9="an",$D9="1 X"),VLOOKUP($D9,PedTblTijden!$A$16:$X$26,PedTblTijden!E$14,FALSE),"")</f>
        <v/>
      </c>
      <c r="L9" s="106" t="str">
        <f>IF(OR($D9="1 dd",$D9="2 dd",$D9="3 dd",$D9="4 dd",$D9="6 dd",$D9="8 dd",$D9="12 dd",$D9="an",$D9="1 X"),VLOOKUP($D9,PedTblTijden!$A$16:$X$26,PedTblTijden!F$14,FALSE),"")</f>
        <v/>
      </c>
      <c r="M9" s="15" t="str">
        <f>IF(OR($D9="1 dd",$D9="2 dd",$D9="3 dd",$D9="4 dd",$D9="6 dd",$D9="8 dd",$D9="12 dd",$D9="an",$D9="1 X"),VLOOKUP($D9,PedTblTijden!$A$16:$X$26,PedTblTijden!G$14,FALSE),"")</f>
        <v/>
      </c>
      <c r="N9" s="106" t="str">
        <f>IF(OR($D9="1 dd",$D9="2 dd",$D9="3 dd",$D9="4 dd",$D9="6 dd",$D9="8 dd",$D9="12 dd",$D9="an",$D9="1 X"),VLOOKUP($D9,PedTblTijden!$A$16:$X$26,PedTblTijden!H$14,FALSE),"")</f>
        <v/>
      </c>
      <c r="O9" s="15" t="str">
        <f>IF(OR($D9="1 dd",$D9="2 dd",$D9="3 dd",$D9="4 dd",$D9="6 dd",$D9="8 dd",$D9="12 dd",$D9="an",$D9="1 X"),VLOOKUP($D9,PedTblTijden!$A$16:$X$26,PedTblTijden!I$14,FALSE),"")</f>
        <v/>
      </c>
      <c r="P9" s="106" t="str">
        <f>IF(OR($D9="1 dd",$D9="2 dd",$D9="3 dd",$D9="4 dd",$D9="6 dd",$D9="8 dd",$D9="12 dd",$D9="an",$D9="1 X"),VLOOKUP($D9,PedTblTijden!$A$16:$X$26,PedTblTijden!J$14,FALSE),"")</f>
        <v/>
      </c>
      <c r="Q9" s="15" t="str">
        <f>IF(OR($D9="1 dd",$D9="2 dd",$D9="3 dd",$D9="4 dd",$D9="6 dd",$D9="8 dd",$D9="12 dd",$D9="an",$D9="1 X"),VLOOKUP($D9,PedTblTijden!$A$16:$X$26,PedTblTijden!K$14,FALSE),"")</f>
        <v/>
      </c>
      <c r="R9" s="106" t="str">
        <f>IF(OR($D9="1 dd",$D9="2 dd",$D9="3 dd",$D9="4 dd",$D9="6 dd",$D9="8 dd",$D9="12 dd",$D9="an",$D9="1 X"),VLOOKUP($D9,PedTblTijden!$A$16:$X$26,PedTblTijden!L$14,FALSE),"")</f>
        <v/>
      </c>
      <c r="S9" s="15" t="str">
        <f>IF(OR($D9="1 dd",$D9="2 dd",$D9="3 dd",$D9="4 dd",$D9="6 dd",$D9="8 dd",$D9="12 dd",$D9="an",$D9="1 X"),VLOOKUP($D9,PedTblTijden!$A$16:$X$26,PedTblTijden!M$14,FALSE),"")</f>
        <v/>
      </c>
      <c r="T9" s="106" t="str">
        <f>IF(OR($D9="1 dd",$D9="2 dd",$D9="3 dd",$D9="4 dd",$D9="6 dd",$D9="8 dd",$D9="12 dd",$D9="an",$D9="1 X"),VLOOKUP($D9,PedTblTijden!$A$16:$X$26,PedTblTijden!N$14,FALSE),"")</f>
        <v/>
      </c>
      <c r="U9" s="15" t="str">
        <f>IF(OR($D9="1 dd",$D9="2 dd",$D9="3 dd",$D9="4 dd",$D9="6 dd",$D9="8 dd",$D9="12 dd",$D9="an",$D9="1 X"),VLOOKUP($D9,PedTblTijden!$A$16:$X$26,PedTblTijden!O$14,FALSE),"")</f>
        <v/>
      </c>
      <c r="V9" s="106" t="str">
        <f>IF(OR($D9="1 dd",$D9="2 dd",$D9="3 dd",$D9="4 dd",$D9="6 dd",$D9="8 dd",$D9="12 dd",$D9="an",$D9="1 X"),VLOOKUP($D9,PedTblTijden!$A$16:$X$26,PedTblTijden!P$14,FALSE),"")</f>
        <v/>
      </c>
      <c r="W9" s="15" t="str">
        <f>IF(OR($D9="1 dd",$D9="2 dd",$D9="3 dd",$D9="4 dd",$D9="6 dd",$D9="8 dd",$D9="12 dd",$D9="an",$D9="1 X"),VLOOKUP($D9,PedTblTijden!$A$16:$X$26,PedTblTijden!Q$14,FALSE),"")</f>
        <v/>
      </c>
      <c r="X9" s="106" t="str">
        <f>IF(OR($D9="1 dd",$D9="2 dd",$D9="3 dd",$D9="4 dd",$D9="6 dd",$D9="8 dd",$D9="12 dd",$D9="an",$D9="1 X"),VLOOKUP($D9,PedTblTijden!$A$16:$X$26,PedTblTijden!R$14,FALSE),"")</f>
        <v/>
      </c>
      <c r="Y9" s="15" t="str">
        <f>IF(OR($D9="1 dd",$D9="2 dd",$D9="3 dd",$D9="4 dd",$D9="6 dd",$D9="8 dd",$D9="12 dd",$D9="an",$D9="1 X"),VLOOKUP($D9,PedTblTijden!$A$16:$X$26,PedTblTijden!S$14,FALSE),"")</f>
        <v/>
      </c>
      <c r="Z9" s="106" t="str">
        <f>IF(OR($D9="1 dd",$D9="2 dd",$D9="3 dd",$D9="4 dd",$D9="6 dd",$D9="8 dd",$D9="12 dd",$D9="an",$D9="1 X"),VLOOKUP($D9,PedTblTijden!$A$16:$X$26,PedTblTijden!T$14,FALSE),"")</f>
        <v/>
      </c>
      <c r="AA9" s="15" t="str">
        <f>IF(OR($D9="1 dd",$D9="2 dd",$D9="3 dd",$D9="4 dd",$D9="6 dd",$D9="8 dd",$D9="12 dd",$D9="an",$D9="1 X"),VLOOKUP($D9,PedTblTijden!$A$16:$X$26,PedTblTijden!U$14,FALSE),"")</f>
        <v/>
      </c>
      <c r="AB9" s="106" t="str">
        <f>IF(OR($D9="1 dd",$D9="2 dd",$D9="3 dd",$D9="4 dd",$D9="6 dd",$D9="8 dd",$D9="12 dd",$D9="an",$D9="1 X"),VLOOKUP($D9,PedTblTijden!$A$16:$X$26,PedTblTijden!V$14,FALSE),"")</f>
        <v/>
      </c>
      <c r="AC9" s="15" t="str">
        <f>IF(OR($D9="1 dd",$D9="2 dd",$D9="3 dd",$D9="4 dd",$D9="6 dd",$D9="8 dd",$D9="12 dd",$D9="an",$D9="1 X"),VLOOKUP($D9,PedTblTijden!$A$16:$X$26,PedTblTijden!W$14,FALSE),"")</f>
        <v/>
      </c>
      <c r="AD9" s="106" t="str">
        <f>IF(OR($D9="1 dd",$D9="2 dd",$D9="3 dd",$D9="4 dd",$D9="6 dd",$D9="8 dd",$D9="12 dd",$D9="an",$D9="1 X"),VLOOKUP($D9,PedTblTijden!$A$16:$X$26,PedTblTijden!X$14,FALSE),"")</f>
        <v/>
      </c>
      <c r="AE9" s="17"/>
      <c r="AF9" s="105"/>
      <c r="AG9" s="17"/>
    </row>
    <row r="10" spans="1:33" ht="26.1" customHeight="1" x14ac:dyDescent="0.35">
      <c r="B10" s="107"/>
      <c r="C10" s="231" t="str">
        <f>IF(PedBerMedDisc!C9&lt;&gt;"",IF(PedBerMedDisc!C9&gt;1,TRIM(PedBerMedDisc!C9)&amp;", "&amp;GlobBerOpm!C14&amp;" ("&amp;PedBerMedDisc!M9&amp;" "&amp;PedBerMedDisc!F9&amp;"/kg/dag)",TRIM(PedBerMedDisc!C9)&amp;", "&amp;GlobBerOpm!C14),"")</f>
        <v/>
      </c>
      <c r="D10" s="232" t="str">
        <f>IF(PedGuiMedDisc!H20&lt;&gt;"",PedGuiMedDisc!H20,"")</f>
        <v/>
      </c>
      <c r="E10" s="233" t="str">
        <f>IF(AND(D10&lt;&gt;"",D10&lt;&gt;"STOP"),PedBerMedDisc!H9&amp;" "&amp;PedBerMedDisc!F9,"")</f>
        <v/>
      </c>
      <c r="F10" s="233" t="str">
        <f>IF(AND(D10&lt;&gt;"",D10&lt;&gt;"STOP"),PedBerMedDisc!L9," ")</f>
        <v xml:space="preserve"> </v>
      </c>
      <c r="G10" s="233" t="str">
        <f>IF(PedGuiMedDisc!L20&lt;&gt;"",PedGuiMedDisc!L20&amp;" "&amp;PedGuiMedDisc!M20&amp;" "&amp;INDEX(PedBerMedDisc!$B$27:$B$30,PedBerMedDisc!O9,1)&amp;" in "&amp;PedGuiMedDisc!$O$20,"")</f>
        <v/>
      </c>
      <c r="H10" s="106" t="str">
        <f>IF(OR($D10="1 dd",$D10="2 dd",$D10="3 dd",$D10="4 dd",$D10="6 dd",$D10="8 dd",$D10="12 dd",$D10="an",$D10="1 X"),VLOOKUP($D10,PedTblTijden!$A$16:$X$26,PedTblTijden!B$14,FALSE),"")</f>
        <v/>
      </c>
      <c r="I10" s="15" t="str">
        <f>IF(OR($D10="1 dd",$D10="2 dd",$D10="3 dd",$D10="4 dd",$D10="6 dd",$D10="8 dd",$D10="12 dd",$D10="an",$D10="1 X"),VLOOKUP($D10,PedTblTijden!$A$16:$X$26,PedTblTijden!C$14,FALSE),"")</f>
        <v/>
      </c>
      <c r="J10" s="106" t="str">
        <f>IF(OR($D10="1 dd",$D10="2 dd",$D10="3 dd",$D10="4 dd",$D10="6 dd",$D10="8 dd",$D10="12 dd",$D10="an",$D10="1 X"),VLOOKUP($D10,PedTblTijden!$A$16:$X$26,PedTblTijden!D$14,FALSE),"")</f>
        <v/>
      </c>
      <c r="K10" s="15" t="str">
        <f>IF(OR($D10="1 dd",$D10="2 dd",$D10="3 dd",$D10="4 dd",$D10="6 dd",$D10="8 dd",$D10="12 dd",$D10="an",$D10="1 X"),VLOOKUP($D10,PedTblTijden!$A$16:$X$26,PedTblTijden!E$14,FALSE),"")</f>
        <v/>
      </c>
      <c r="L10" s="106" t="str">
        <f>IF(OR($D10="1 dd",$D10="2 dd",$D10="3 dd",$D10="4 dd",$D10="6 dd",$D10="8 dd",$D10="12 dd",$D10="an",$D10="1 X"),VLOOKUP($D10,PedTblTijden!$A$16:$X$26,PedTblTijden!F$14,FALSE),"")</f>
        <v/>
      </c>
      <c r="M10" s="15" t="str">
        <f>IF(OR($D10="1 dd",$D10="2 dd",$D10="3 dd",$D10="4 dd",$D10="6 dd",$D10="8 dd",$D10="12 dd",$D10="an",$D10="1 X"),VLOOKUP($D10,PedTblTijden!$A$16:$X$26,PedTblTijden!G$14,FALSE),"")</f>
        <v/>
      </c>
      <c r="N10" s="106" t="str">
        <f>IF(OR($D10="1 dd",$D10="2 dd",$D10="3 dd",$D10="4 dd",$D10="6 dd",$D10="8 dd",$D10="12 dd",$D10="an",$D10="1 X"),VLOOKUP($D10,PedTblTijden!$A$16:$X$26,PedTblTijden!H$14,FALSE),"")</f>
        <v/>
      </c>
      <c r="O10" s="15" t="str">
        <f>IF(OR($D10="1 dd",$D10="2 dd",$D10="3 dd",$D10="4 dd",$D10="6 dd",$D10="8 dd",$D10="12 dd",$D10="an",$D10="1 X"),VLOOKUP($D10,PedTblTijden!$A$16:$X$26,PedTblTijden!I$14,FALSE),"")</f>
        <v/>
      </c>
      <c r="P10" s="106" t="str">
        <f>IF(OR($D10="1 dd",$D10="2 dd",$D10="3 dd",$D10="4 dd",$D10="6 dd",$D10="8 dd",$D10="12 dd",$D10="an",$D10="1 X"),VLOOKUP($D10,PedTblTijden!$A$16:$X$26,PedTblTijden!J$14,FALSE),"")</f>
        <v/>
      </c>
      <c r="Q10" s="15" t="str">
        <f>IF(OR($D10="1 dd",$D10="2 dd",$D10="3 dd",$D10="4 dd",$D10="6 dd",$D10="8 dd",$D10="12 dd",$D10="an",$D10="1 X"),VLOOKUP($D10,PedTblTijden!$A$16:$X$26,PedTblTijden!K$14,FALSE),"")</f>
        <v/>
      </c>
      <c r="R10" s="106" t="str">
        <f>IF(OR($D10="1 dd",$D10="2 dd",$D10="3 dd",$D10="4 dd",$D10="6 dd",$D10="8 dd",$D10="12 dd",$D10="an",$D10="1 X"),VLOOKUP($D10,PedTblTijden!$A$16:$X$26,PedTblTijden!L$14,FALSE),"")</f>
        <v/>
      </c>
      <c r="S10" s="15" t="str">
        <f>IF(OR($D10="1 dd",$D10="2 dd",$D10="3 dd",$D10="4 dd",$D10="6 dd",$D10="8 dd",$D10="12 dd",$D10="an",$D10="1 X"),VLOOKUP($D10,PedTblTijden!$A$16:$X$26,PedTblTijden!M$14,FALSE),"")</f>
        <v/>
      </c>
      <c r="T10" s="106" t="str">
        <f>IF(OR($D10="1 dd",$D10="2 dd",$D10="3 dd",$D10="4 dd",$D10="6 dd",$D10="8 dd",$D10="12 dd",$D10="an",$D10="1 X"),VLOOKUP($D10,PedTblTijden!$A$16:$X$26,PedTblTijden!N$14,FALSE),"")</f>
        <v/>
      </c>
      <c r="U10" s="15" t="str">
        <f>IF(OR($D10="1 dd",$D10="2 dd",$D10="3 dd",$D10="4 dd",$D10="6 dd",$D10="8 dd",$D10="12 dd",$D10="an",$D10="1 X"),VLOOKUP($D10,PedTblTijden!$A$16:$X$26,PedTblTijden!O$14,FALSE),"")</f>
        <v/>
      </c>
      <c r="V10" s="106" t="str">
        <f>IF(OR($D10="1 dd",$D10="2 dd",$D10="3 dd",$D10="4 dd",$D10="6 dd",$D10="8 dd",$D10="12 dd",$D10="an",$D10="1 X"),VLOOKUP($D10,PedTblTijden!$A$16:$X$26,PedTblTijden!P$14,FALSE),"")</f>
        <v/>
      </c>
      <c r="W10" s="15" t="str">
        <f>IF(OR($D10="1 dd",$D10="2 dd",$D10="3 dd",$D10="4 dd",$D10="6 dd",$D10="8 dd",$D10="12 dd",$D10="an",$D10="1 X"),VLOOKUP($D10,PedTblTijden!$A$16:$X$26,PedTblTijden!Q$14,FALSE),"")</f>
        <v/>
      </c>
      <c r="X10" s="106" t="str">
        <f>IF(OR($D10="1 dd",$D10="2 dd",$D10="3 dd",$D10="4 dd",$D10="6 dd",$D10="8 dd",$D10="12 dd",$D10="an",$D10="1 X"),VLOOKUP($D10,PedTblTijden!$A$16:$X$26,PedTblTijden!R$14,FALSE),"")</f>
        <v/>
      </c>
      <c r="Y10" s="15" t="str">
        <f>IF(OR($D10="1 dd",$D10="2 dd",$D10="3 dd",$D10="4 dd",$D10="6 dd",$D10="8 dd",$D10="12 dd",$D10="an",$D10="1 X"),VLOOKUP($D10,PedTblTijden!$A$16:$X$26,PedTblTijden!S$14,FALSE),"")</f>
        <v/>
      </c>
      <c r="Z10" s="106" t="str">
        <f>IF(OR($D10="1 dd",$D10="2 dd",$D10="3 dd",$D10="4 dd",$D10="6 dd",$D10="8 dd",$D10="12 dd",$D10="an",$D10="1 X"),VLOOKUP($D10,PedTblTijden!$A$16:$X$26,PedTblTijden!T$14,FALSE),"")</f>
        <v/>
      </c>
      <c r="AA10" s="15" t="str">
        <f>IF(OR($D10="1 dd",$D10="2 dd",$D10="3 dd",$D10="4 dd",$D10="6 dd",$D10="8 dd",$D10="12 dd",$D10="an",$D10="1 X"),VLOOKUP($D10,PedTblTijden!$A$16:$X$26,PedTblTijden!U$14,FALSE),"")</f>
        <v/>
      </c>
      <c r="AB10" s="106" t="str">
        <f>IF(OR($D10="1 dd",$D10="2 dd",$D10="3 dd",$D10="4 dd",$D10="6 dd",$D10="8 dd",$D10="12 dd",$D10="an",$D10="1 X"),VLOOKUP($D10,PedTblTijden!$A$16:$X$26,PedTblTijden!V$14,FALSE),"")</f>
        <v/>
      </c>
      <c r="AC10" s="15" t="str">
        <f>IF(OR($D10="1 dd",$D10="2 dd",$D10="3 dd",$D10="4 dd",$D10="6 dd",$D10="8 dd",$D10="12 dd",$D10="an",$D10="1 X"),VLOOKUP($D10,PedTblTijden!$A$16:$X$26,PedTblTijden!W$14,FALSE),"")</f>
        <v/>
      </c>
      <c r="AD10" s="106" t="str">
        <f>IF(OR($D10="1 dd",$D10="2 dd",$D10="3 dd",$D10="4 dd",$D10="6 dd",$D10="8 dd",$D10="12 dd",$D10="an",$D10="1 X"),VLOOKUP($D10,PedTblTijden!$A$16:$X$26,PedTblTijden!X$14,FALSE),"")</f>
        <v/>
      </c>
      <c r="AE10" s="17"/>
      <c r="AF10" s="105"/>
      <c r="AG10" s="17"/>
    </row>
    <row r="11" spans="1:33" ht="26.1" customHeight="1" x14ac:dyDescent="0.35">
      <c r="B11" s="107"/>
      <c r="C11" s="231" t="str">
        <f>IF(PedBerMedDisc!C10&lt;&gt;"",IF(PedBerMedDisc!C10&gt;1,TRIM(PedBerMedDisc!C10)&amp;", "&amp;GlobBerOpm!C15&amp;" ("&amp;PedBerMedDisc!M10&amp;" "&amp;PedBerMedDisc!F10&amp;"/kg/dag)",TRIM(PedBerMedDisc!C10)&amp;", "&amp;GlobBerOpm!C15),"")</f>
        <v/>
      </c>
      <c r="D11" s="232" t="str">
        <f>IF(PedGuiMedDisc!H22&lt;&gt;"",PedGuiMedDisc!H22,"")</f>
        <v/>
      </c>
      <c r="E11" s="233" t="str">
        <f>IF(AND(D11&lt;&gt;"",D11&lt;&gt;"STOP"),PedBerMedDisc!H10&amp;" "&amp;PedBerMedDisc!F10,"")</f>
        <v/>
      </c>
      <c r="F11" s="233" t="str">
        <f>IF(AND(D11&lt;&gt;"",D11&lt;&gt;"STOP"),PedBerMedDisc!L10," ")</f>
        <v xml:space="preserve"> </v>
      </c>
      <c r="G11" s="233" t="str">
        <f>IF(PedGuiMedDisc!L22&lt;&gt;"",PedGuiMedDisc!L22&amp;" "&amp;PedGuiMedDisc!M22&amp;" "&amp;INDEX(PedBerMedDisc!$B$27:$B$30,PedBerMedDisc!O10,1)&amp;" in "&amp;PedGuiMedDisc!$O$22,"")</f>
        <v/>
      </c>
      <c r="H11" s="106" t="str">
        <f>IF(OR($D11="1 dd",$D11="2 dd",$D11="3 dd",$D11="4 dd",$D11="6 dd",$D11="8 dd",$D11="12 dd",$D11="an",$D11="1 X"),VLOOKUP($D11,PedTblTijden!$A$16:$X$26,PedTblTijden!B$14,FALSE),"")</f>
        <v/>
      </c>
      <c r="I11" s="15" t="str">
        <f>IF(OR($D11="1 dd",$D11="2 dd",$D11="3 dd",$D11="4 dd",$D11="6 dd",$D11="8 dd",$D11="12 dd",$D11="an",$D11="1 X"),VLOOKUP($D11,PedTblTijden!$A$16:$X$26,PedTblTijden!C$14,FALSE),"")</f>
        <v/>
      </c>
      <c r="J11" s="106" t="str">
        <f>IF(OR($D11="1 dd",$D11="2 dd",$D11="3 dd",$D11="4 dd",$D11="6 dd",$D11="8 dd",$D11="12 dd",$D11="an",$D11="1 X"),VLOOKUP($D11,PedTblTijden!$A$16:$X$26,PedTblTijden!D$14,FALSE),"")</f>
        <v/>
      </c>
      <c r="K11" s="15" t="str">
        <f>IF(OR($D11="1 dd",$D11="2 dd",$D11="3 dd",$D11="4 dd",$D11="6 dd",$D11="8 dd",$D11="12 dd",$D11="an",$D11="1 X"),VLOOKUP($D11,PedTblTijden!$A$16:$X$26,PedTblTijden!E$14,FALSE),"")</f>
        <v/>
      </c>
      <c r="L11" s="106" t="str">
        <f>IF(OR($D11="1 dd",$D11="2 dd",$D11="3 dd",$D11="4 dd",$D11="6 dd",$D11="8 dd",$D11="12 dd",$D11="an",$D11="1 X"),VLOOKUP($D11,PedTblTijden!$A$16:$X$26,PedTblTijden!F$14,FALSE),"")</f>
        <v/>
      </c>
      <c r="M11" s="15" t="str">
        <f>IF(OR($D11="1 dd",$D11="2 dd",$D11="3 dd",$D11="4 dd",$D11="6 dd",$D11="8 dd",$D11="12 dd",$D11="an",$D11="1 X"),VLOOKUP($D11,PedTblTijden!$A$16:$X$26,PedTblTijden!G$14,FALSE),"")</f>
        <v/>
      </c>
      <c r="N11" s="106" t="str">
        <f>IF(OR($D11="1 dd",$D11="2 dd",$D11="3 dd",$D11="4 dd",$D11="6 dd",$D11="8 dd",$D11="12 dd",$D11="an",$D11="1 X"),VLOOKUP($D11,PedTblTijden!$A$16:$X$26,PedTblTijden!H$14,FALSE),"")</f>
        <v/>
      </c>
      <c r="O11" s="15" t="str">
        <f>IF(OR($D11="1 dd",$D11="2 dd",$D11="3 dd",$D11="4 dd",$D11="6 dd",$D11="8 dd",$D11="12 dd",$D11="an",$D11="1 X"),VLOOKUP($D11,PedTblTijden!$A$16:$X$26,PedTblTijden!I$14,FALSE),"")</f>
        <v/>
      </c>
      <c r="P11" s="106" t="str">
        <f>IF(OR($D11="1 dd",$D11="2 dd",$D11="3 dd",$D11="4 dd",$D11="6 dd",$D11="8 dd",$D11="12 dd",$D11="an",$D11="1 X"),VLOOKUP($D11,PedTblTijden!$A$16:$X$26,PedTblTijden!J$14,FALSE),"")</f>
        <v/>
      </c>
      <c r="Q11" s="15" t="str">
        <f>IF(OR($D11="1 dd",$D11="2 dd",$D11="3 dd",$D11="4 dd",$D11="6 dd",$D11="8 dd",$D11="12 dd",$D11="an",$D11="1 X"),VLOOKUP($D11,PedTblTijden!$A$16:$X$26,PedTblTijden!K$14,FALSE),"")</f>
        <v/>
      </c>
      <c r="R11" s="106" t="str">
        <f>IF(OR($D11="1 dd",$D11="2 dd",$D11="3 dd",$D11="4 dd",$D11="6 dd",$D11="8 dd",$D11="12 dd",$D11="an",$D11="1 X"),VLOOKUP($D11,PedTblTijden!$A$16:$X$26,PedTblTijden!L$14,FALSE),"")</f>
        <v/>
      </c>
      <c r="S11" s="15" t="str">
        <f>IF(OR($D11="1 dd",$D11="2 dd",$D11="3 dd",$D11="4 dd",$D11="6 dd",$D11="8 dd",$D11="12 dd",$D11="an",$D11="1 X"),VLOOKUP($D11,PedTblTijden!$A$16:$X$26,PedTblTijden!M$14,FALSE),"")</f>
        <v/>
      </c>
      <c r="T11" s="106" t="str">
        <f>IF(OR($D11="1 dd",$D11="2 dd",$D11="3 dd",$D11="4 dd",$D11="6 dd",$D11="8 dd",$D11="12 dd",$D11="an",$D11="1 X"),VLOOKUP($D11,PedTblTijden!$A$16:$X$26,PedTblTijden!N$14,FALSE),"")</f>
        <v/>
      </c>
      <c r="U11" s="15" t="str">
        <f>IF(OR($D11="1 dd",$D11="2 dd",$D11="3 dd",$D11="4 dd",$D11="6 dd",$D11="8 dd",$D11="12 dd",$D11="an",$D11="1 X"),VLOOKUP($D11,PedTblTijden!$A$16:$X$26,PedTblTijden!O$14,FALSE),"")</f>
        <v/>
      </c>
      <c r="V11" s="106" t="str">
        <f>IF(OR($D11="1 dd",$D11="2 dd",$D11="3 dd",$D11="4 dd",$D11="6 dd",$D11="8 dd",$D11="12 dd",$D11="an",$D11="1 X"),VLOOKUP($D11,PedTblTijden!$A$16:$X$26,PedTblTijden!P$14,FALSE),"")</f>
        <v/>
      </c>
      <c r="W11" s="15" t="str">
        <f>IF(OR($D11="1 dd",$D11="2 dd",$D11="3 dd",$D11="4 dd",$D11="6 dd",$D11="8 dd",$D11="12 dd",$D11="an",$D11="1 X"),VLOOKUP($D11,PedTblTijden!$A$16:$X$26,PedTblTijden!Q$14,FALSE),"")</f>
        <v/>
      </c>
      <c r="X11" s="106" t="str">
        <f>IF(OR($D11="1 dd",$D11="2 dd",$D11="3 dd",$D11="4 dd",$D11="6 dd",$D11="8 dd",$D11="12 dd",$D11="an",$D11="1 X"),VLOOKUP($D11,PedTblTijden!$A$16:$X$26,PedTblTijden!R$14,FALSE),"")</f>
        <v/>
      </c>
      <c r="Y11" s="15" t="str">
        <f>IF(OR($D11="1 dd",$D11="2 dd",$D11="3 dd",$D11="4 dd",$D11="6 dd",$D11="8 dd",$D11="12 dd",$D11="an",$D11="1 X"),VLOOKUP($D11,PedTblTijden!$A$16:$X$26,PedTblTijden!S$14,FALSE),"")</f>
        <v/>
      </c>
      <c r="Z11" s="106" t="str">
        <f>IF(OR($D11="1 dd",$D11="2 dd",$D11="3 dd",$D11="4 dd",$D11="6 dd",$D11="8 dd",$D11="12 dd",$D11="an",$D11="1 X"),VLOOKUP($D11,PedTblTijden!$A$16:$X$26,PedTblTijden!T$14,FALSE),"")</f>
        <v/>
      </c>
      <c r="AA11" s="15" t="str">
        <f>IF(OR($D11="1 dd",$D11="2 dd",$D11="3 dd",$D11="4 dd",$D11="6 dd",$D11="8 dd",$D11="12 dd",$D11="an",$D11="1 X"),VLOOKUP($D11,PedTblTijden!$A$16:$X$26,PedTblTijden!U$14,FALSE),"")</f>
        <v/>
      </c>
      <c r="AB11" s="106" t="str">
        <f>IF(OR($D11="1 dd",$D11="2 dd",$D11="3 dd",$D11="4 dd",$D11="6 dd",$D11="8 dd",$D11="12 dd",$D11="an",$D11="1 X"),VLOOKUP($D11,PedTblTijden!$A$16:$X$26,PedTblTijden!V$14,FALSE),"")</f>
        <v/>
      </c>
      <c r="AC11" s="15" t="str">
        <f>IF(OR($D11="1 dd",$D11="2 dd",$D11="3 dd",$D11="4 dd",$D11="6 dd",$D11="8 dd",$D11="12 dd",$D11="an",$D11="1 X"),VLOOKUP($D11,PedTblTijden!$A$16:$X$26,PedTblTijden!W$14,FALSE),"")</f>
        <v/>
      </c>
      <c r="AD11" s="106" t="str">
        <f>IF(OR($D11="1 dd",$D11="2 dd",$D11="3 dd",$D11="4 dd",$D11="6 dd",$D11="8 dd",$D11="12 dd",$D11="an",$D11="1 X"),VLOOKUP($D11,PedTblTijden!$A$16:$X$26,PedTblTijden!X$14,FALSE),"")</f>
        <v/>
      </c>
      <c r="AE11" s="17"/>
      <c r="AF11" s="105"/>
      <c r="AG11" s="17"/>
    </row>
    <row r="12" spans="1:33" ht="26.1" customHeight="1" x14ac:dyDescent="0.35">
      <c r="B12" s="107"/>
      <c r="C12" s="231" t="str">
        <f>IF(PedBerMedDisc!C11&lt;&gt;"",IF(PedBerMedDisc!C11&gt;1,TRIM(PedBerMedDisc!C11)&amp;", "&amp;GlobBerOpm!C16&amp;" ("&amp;PedBerMedDisc!M11&amp;" "&amp;PedBerMedDisc!F11&amp;"/kg/dag)",TRIM(PedBerMedDisc!C11)&amp;", "&amp;GlobBerOpm!C16),"")</f>
        <v/>
      </c>
      <c r="D12" s="232" t="str">
        <f>IF(PedGuiMedDisc!H24&lt;&gt;"",PedGuiMedDisc!H24,"")</f>
        <v/>
      </c>
      <c r="E12" s="233" t="str">
        <f>IF(AND(D12&lt;&gt;"",D12&lt;&gt;"STOP"),PedBerMedDisc!H11&amp;" "&amp;PedBerMedDisc!F11,"")</f>
        <v/>
      </c>
      <c r="F12" s="233" t="str">
        <f>IF(AND(D12&lt;&gt;"",D12&lt;&gt;"STOP"),PedBerMedDisc!L11," ")</f>
        <v xml:space="preserve"> </v>
      </c>
      <c r="G12" s="233" t="str">
        <f>IF(PedGuiMedDisc!L24&lt;&gt;"",PedGuiMedDisc!L24&amp;" "&amp;PedGuiMedDisc!M24&amp;" "&amp;INDEX(PedBerMedDisc!$B$27:$B$30,PedBerMedDisc!O11,1)&amp;" in "&amp;PedGuiMedDisc!$O$1404,"")</f>
        <v/>
      </c>
      <c r="H12" s="106" t="str">
        <f>IF(OR($D12="1 dd",$D12="2 dd",$D12="3 dd",$D12="4 dd",$D12="6 dd",$D12="8 dd",$D12="12 dd",$D12="an",$D12="1 X"),VLOOKUP($D12,PedTblTijden!$A$16:$X$26,PedTblTijden!B$14,FALSE),"")</f>
        <v/>
      </c>
      <c r="I12" s="15" t="str">
        <f>IF(OR($D12="1 dd",$D12="2 dd",$D12="3 dd",$D12="4 dd",$D12="6 dd",$D12="8 dd",$D12="12 dd",$D12="an",$D12="1 X"),VLOOKUP($D12,PedTblTijden!$A$16:$X$26,PedTblTijden!C$14,FALSE),"")</f>
        <v/>
      </c>
      <c r="J12" s="106" t="str">
        <f>IF(OR($D12="1 dd",$D12="2 dd",$D12="3 dd",$D12="4 dd",$D12="6 dd",$D12="8 dd",$D12="12 dd",$D12="an",$D12="1 X"),VLOOKUP($D12,PedTblTijden!$A$16:$X$26,PedTblTijden!D$14,FALSE),"")</f>
        <v/>
      </c>
      <c r="K12" s="15" t="str">
        <f>IF(OR($D12="1 dd",$D12="2 dd",$D12="3 dd",$D12="4 dd",$D12="6 dd",$D12="8 dd",$D12="12 dd",$D12="an",$D12="1 X"),VLOOKUP($D12,PedTblTijden!$A$16:$X$26,PedTblTijden!E$14,FALSE),"")</f>
        <v/>
      </c>
      <c r="L12" s="106" t="str">
        <f>IF(OR($D12="1 dd",$D12="2 dd",$D12="3 dd",$D12="4 dd",$D12="6 dd",$D12="8 dd",$D12="12 dd",$D12="an",$D12="1 X"),VLOOKUP($D12,PedTblTijden!$A$16:$X$26,PedTblTijden!F$14,FALSE),"")</f>
        <v/>
      </c>
      <c r="M12" s="15" t="str">
        <f>IF(OR($D12="1 dd",$D12="2 dd",$D12="3 dd",$D12="4 dd",$D12="6 dd",$D12="8 dd",$D12="12 dd",$D12="an",$D12="1 X"),VLOOKUP($D12,PedTblTijden!$A$16:$X$26,PedTblTijden!G$14,FALSE),"")</f>
        <v/>
      </c>
      <c r="N12" s="106" t="str">
        <f>IF(OR($D12="1 dd",$D12="2 dd",$D12="3 dd",$D12="4 dd",$D12="6 dd",$D12="8 dd",$D12="12 dd",$D12="an",$D12="1 X"),VLOOKUP($D12,PedTblTijden!$A$16:$X$26,PedTblTijden!H$14,FALSE),"")</f>
        <v/>
      </c>
      <c r="O12" s="15" t="str">
        <f>IF(OR($D12="1 dd",$D12="2 dd",$D12="3 dd",$D12="4 dd",$D12="6 dd",$D12="8 dd",$D12="12 dd",$D12="an",$D12="1 X"),VLOOKUP($D12,PedTblTijden!$A$16:$X$26,PedTblTijden!I$14,FALSE),"")</f>
        <v/>
      </c>
      <c r="P12" s="106" t="str">
        <f>IF(OR($D12="1 dd",$D12="2 dd",$D12="3 dd",$D12="4 dd",$D12="6 dd",$D12="8 dd",$D12="12 dd",$D12="an",$D12="1 X"),VLOOKUP($D12,PedTblTijden!$A$16:$X$26,PedTblTijden!J$14,FALSE),"")</f>
        <v/>
      </c>
      <c r="Q12" s="15" t="str">
        <f>IF(OR($D12="1 dd",$D12="2 dd",$D12="3 dd",$D12="4 dd",$D12="6 dd",$D12="8 dd",$D12="12 dd",$D12="an",$D12="1 X"),VLOOKUP($D12,PedTblTijden!$A$16:$X$26,PedTblTijden!K$14,FALSE),"")</f>
        <v/>
      </c>
      <c r="R12" s="106" t="str">
        <f>IF(OR($D12="1 dd",$D12="2 dd",$D12="3 dd",$D12="4 dd",$D12="6 dd",$D12="8 dd",$D12="12 dd",$D12="an",$D12="1 X"),VLOOKUP($D12,PedTblTijden!$A$16:$X$26,PedTblTijden!L$14,FALSE),"")</f>
        <v/>
      </c>
      <c r="S12" s="15" t="str">
        <f>IF(OR($D12="1 dd",$D12="2 dd",$D12="3 dd",$D12="4 dd",$D12="6 dd",$D12="8 dd",$D12="12 dd",$D12="an",$D12="1 X"),VLOOKUP($D12,PedTblTijden!$A$16:$X$26,PedTblTijden!M$14,FALSE),"")</f>
        <v/>
      </c>
      <c r="T12" s="106" t="str">
        <f>IF(OR($D12="1 dd",$D12="2 dd",$D12="3 dd",$D12="4 dd",$D12="6 dd",$D12="8 dd",$D12="12 dd",$D12="an",$D12="1 X"),VLOOKUP($D12,PedTblTijden!$A$16:$X$26,PedTblTijden!N$14,FALSE),"")</f>
        <v/>
      </c>
      <c r="U12" s="15" t="str">
        <f>IF(OR($D12="1 dd",$D12="2 dd",$D12="3 dd",$D12="4 dd",$D12="6 dd",$D12="8 dd",$D12="12 dd",$D12="an",$D12="1 X"),VLOOKUP($D12,PedTblTijden!$A$16:$X$26,PedTblTijden!O$14,FALSE),"")</f>
        <v/>
      </c>
      <c r="V12" s="106" t="str">
        <f>IF(OR($D12="1 dd",$D12="2 dd",$D12="3 dd",$D12="4 dd",$D12="6 dd",$D12="8 dd",$D12="12 dd",$D12="an",$D12="1 X"),VLOOKUP($D12,PedTblTijden!$A$16:$X$26,PedTblTijden!P$14,FALSE),"")</f>
        <v/>
      </c>
      <c r="W12" s="15" t="str">
        <f>IF(OR($D12="1 dd",$D12="2 dd",$D12="3 dd",$D12="4 dd",$D12="6 dd",$D12="8 dd",$D12="12 dd",$D12="an",$D12="1 X"),VLOOKUP($D12,PedTblTijden!$A$16:$X$26,PedTblTijden!Q$14,FALSE),"")</f>
        <v/>
      </c>
      <c r="X12" s="106" t="str">
        <f>IF(OR($D12="1 dd",$D12="2 dd",$D12="3 dd",$D12="4 dd",$D12="6 dd",$D12="8 dd",$D12="12 dd",$D12="an",$D12="1 X"),VLOOKUP($D12,PedTblTijden!$A$16:$X$26,PedTblTijden!R$14,FALSE),"")</f>
        <v/>
      </c>
      <c r="Y12" s="15" t="str">
        <f>IF(OR($D12="1 dd",$D12="2 dd",$D12="3 dd",$D12="4 dd",$D12="6 dd",$D12="8 dd",$D12="12 dd",$D12="an",$D12="1 X"),VLOOKUP($D12,PedTblTijden!$A$16:$X$26,PedTblTijden!S$14,FALSE),"")</f>
        <v/>
      </c>
      <c r="Z12" s="106" t="str">
        <f>IF(OR($D12="1 dd",$D12="2 dd",$D12="3 dd",$D12="4 dd",$D12="6 dd",$D12="8 dd",$D12="12 dd",$D12="an",$D12="1 X"),VLOOKUP($D12,PedTblTijden!$A$16:$X$26,PedTblTijden!T$14,FALSE),"")</f>
        <v/>
      </c>
      <c r="AA12" s="15" t="str">
        <f>IF(OR($D12="1 dd",$D12="2 dd",$D12="3 dd",$D12="4 dd",$D12="6 dd",$D12="8 dd",$D12="12 dd",$D12="an",$D12="1 X"),VLOOKUP($D12,PedTblTijden!$A$16:$X$26,PedTblTijden!U$14,FALSE),"")</f>
        <v/>
      </c>
      <c r="AB12" s="106" t="str">
        <f>IF(OR($D12="1 dd",$D12="2 dd",$D12="3 dd",$D12="4 dd",$D12="6 dd",$D12="8 dd",$D12="12 dd",$D12="an",$D12="1 X"),VLOOKUP($D12,PedTblTijden!$A$16:$X$26,PedTblTijden!V$14,FALSE),"")</f>
        <v/>
      </c>
      <c r="AC12" s="15" t="str">
        <f>IF(OR($D12="1 dd",$D12="2 dd",$D12="3 dd",$D12="4 dd",$D12="6 dd",$D12="8 dd",$D12="12 dd",$D12="an",$D12="1 X"),VLOOKUP($D12,PedTblTijden!$A$16:$X$26,PedTblTijden!W$14,FALSE),"")</f>
        <v/>
      </c>
      <c r="AD12" s="106" t="str">
        <f>IF(OR($D12="1 dd",$D12="2 dd",$D12="3 dd",$D12="4 dd",$D12="6 dd",$D12="8 dd",$D12="12 dd",$D12="an",$D12="1 X"),VLOOKUP($D12,PedTblTijden!$A$16:$X$26,PedTblTijden!X$14,FALSE),"")</f>
        <v/>
      </c>
      <c r="AE12" s="17"/>
      <c r="AF12" s="105"/>
      <c r="AG12" s="17"/>
    </row>
    <row r="13" spans="1:33" ht="26.1" customHeight="1" x14ac:dyDescent="0.35">
      <c r="B13" s="107"/>
      <c r="C13" s="231" t="str">
        <f>IF(PedBerMedDisc!C12&lt;&gt;"",IF(PedBerMedDisc!C12&gt;1,TRIM(PedBerMedDisc!C12)&amp;", "&amp;GlobBerOpm!C17&amp;" ("&amp;PedBerMedDisc!M12&amp;" "&amp;PedBerMedDisc!F12&amp;"/kg/dag)",TRIM(PedBerMedDisc!C12)&amp;", "&amp;GlobBerOpm!C17),"")</f>
        <v/>
      </c>
      <c r="D13" s="232" t="str">
        <f>IF(PedGuiMedDisc!H26&lt;&gt;"",PedGuiMedDisc!H26,"")</f>
        <v/>
      </c>
      <c r="E13" s="233" t="str">
        <f>IF(AND(D13&lt;&gt;"",D13&lt;&gt;"STOP"),PedBerMedDisc!H12&amp;" "&amp;PedBerMedDisc!F12,"")</f>
        <v/>
      </c>
      <c r="F13" s="233" t="str">
        <f>IF(AND(D13&lt;&gt;"",D13&lt;&gt;"STOP"),PedBerMedDisc!L12," ")</f>
        <v xml:space="preserve"> </v>
      </c>
      <c r="G13" s="233" t="str">
        <f>IF(PedGuiMedDisc!L26&lt;&gt;"",PedGuiMedDisc!L26&amp;" "&amp;PedGuiMedDisc!M26&amp;" "&amp;INDEX(PedBerMedDisc!$B$27:$B$30,PedBerMedDisc!O12,1)&amp;" in "&amp;PedGuiMedDisc!$O$26,"")</f>
        <v/>
      </c>
      <c r="H13" s="106" t="str">
        <f>IF(OR($D13="1 dd",$D13="2 dd",$D13="3 dd",$D13="4 dd",$D13="6 dd",$D13="8 dd",$D13="12 dd",$D13="an",$D13="1 X"),VLOOKUP($D13,PedTblTijden!$A$16:$X$26,PedTblTijden!B$14,FALSE),"")</f>
        <v/>
      </c>
      <c r="I13" s="15" t="str">
        <f>IF(OR($D13="1 dd",$D13="2 dd",$D13="3 dd",$D13="4 dd",$D13="6 dd",$D13="8 dd",$D13="12 dd",$D13="an",$D13="1 X"),VLOOKUP($D13,PedTblTijden!$A$16:$X$26,PedTblTijden!C$14,FALSE),"")</f>
        <v/>
      </c>
      <c r="J13" s="106" t="str">
        <f>IF(OR($D13="1 dd",$D13="2 dd",$D13="3 dd",$D13="4 dd",$D13="6 dd",$D13="8 dd",$D13="12 dd",$D13="an",$D13="1 X"),VLOOKUP($D13,PedTblTijden!$A$16:$X$26,PedTblTijden!D$14,FALSE),"")</f>
        <v/>
      </c>
      <c r="K13" s="15" t="str">
        <f>IF(OR($D13="1 dd",$D13="2 dd",$D13="3 dd",$D13="4 dd",$D13="6 dd",$D13="8 dd",$D13="12 dd",$D13="an",$D13="1 X"),VLOOKUP($D13,PedTblTijden!$A$16:$X$26,PedTblTijden!E$14,FALSE),"")</f>
        <v/>
      </c>
      <c r="L13" s="106" t="str">
        <f>IF(OR($D13="1 dd",$D13="2 dd",$D13="3 dd",$D13="4 dd",$D13="6 dd",$D13="8 dd",$D13="12 dd",$D13="an",$D13="1 X"),VLOOKUP($D13,PedTblTijden!$A$16:$X$26,PedTblTijden!F$14,FALSE),"")</f>
        <v/>
      </c>
      <c r="M13" s="15" t="str">
        <f>IF(OR($D13="1 dd",$D13="2 dd",$D13="3 dd",$D13="4 dd",$D13="6 dd",$D13="8 dd",$D13="12 dd",$D13="an",$D13="1 X"),VLOOKUP($D13,PedTblTijden!$A$16:$X$26,PedTblTijden!G$14,FALSE),"")</f>
        <v/>
      </c>
      <c r="N13" s="106" t="str">
        <f>IF(OR($D13="1 dd",$D13="2 dd",$D13="3 dd",$D13="4 dd",$D13="6 dd",$D13="8 dd",$D13="12 dd",$D13="an",$D13="1 X"),VLOOKUP($D13,PedTblTijden!$A$16:$X$26,PedTblTijden!H$14,FALSE),"")</f>
        <v/>
      </c>
      <c r="O13" s="15" t="str">
        <f>IF(OR($D13="1 dd",$D13="2 dd",$D13="3 dd",$D13="4 dd",$D13="6 dd",$D13="8 dd",$D13="12 dd",$D13="an",$D13="1 X"),VLOOKUP($D13,PedTblTijden!$A$16:$X$26,PedTblTijden!I$14,FALSE),"")</f>
        <v/>
      </c>
      <c r="P13" s="106" t="str">
        <f>IF(OR($D13="1 dd",$D13="2 dd",$D13="3 dd",$D13="4 dd",$D13="6 dd",$D13="8 dd",$D13="12 dd",$D13="an",$D13="1 X"),VLOOKUP($D13,PedTblTijden!$A$16:$X$26,PedTblTijden!J$14,FALSE),"")</f>
        <v/>
      </c>
      <c r="Q13" s="15" t="str">
        <f>IF(OR($D13="1 dd",$D13="2 dd",$D13="3 dd",$D13="4 dd",$D13="6 dd",$D13="8 dd",$D13="12 dd",$D13="an",$D13="1 X"),VLOOKUP($D13,PedTblTijden!$A$16:$X$26,PedTblTijden!K$14,FALSE),"")</f>
        <v/>
      </c>
      <c r="R13" s="106" t="str">
        <f>IF(OR($D13="1 dd",$D13="2 dd",$D13="3 dd",$D13="4 dd",$D13="6 dd",$D13="8 dd",$D13="12 dd",$D13="an",$D13="1 X"),VLOOKUP($D13,PedTblTijden!$A$16:$X$26,PedTblTijden!L$14,FALSE),"")</f>
        <v/>
      </c>
      <c r="S13" s="15" t="str">
        <f>IF(OR($D13="1 dd",$D13="2 dd",$D13="3 dd",$D13="4 dd",$D13="6 dd",$D13="8 dd",$D13="12 dd",$D13="an",$D13="1 X"),VLOOKUP($D13,PedTblTijden!$A$16:$X$26,PedTblTijden!M$14,FALSE),"")</f>
        <v/>
      </c>
      <c r="T13" s="106" t="str">
        <f>IF(OR($D13="1 dd",$D13="2 dd",$D13="3 dd",$D13="4 dd",$D13="6 dd",$D13="8 dd",$D13="12 dd",$D13="an",$D13="1 X"),VLOOKUP($D13,PedTblTijden!$A$16:$X$26,PedTblTijden!N$14,FALSE),"")</f>
        <v/>
      </c>
      <c r="U13" s="15" t="str">
        <f>IF(OR($D13="1 dd",$D13="2 dd",$D13="3 dd",$D13="4 dd",$D13="6 dd",$D13="8 dd",$D13="12 dd",$D13="an",$D13="1 X"),VLOOKUP($D13,PedTblTijden!$A$16:$X$26,PedTblTijden!O$14,FALSE),"")</f>
        <v/>
      </c>
      <c r="V13" s="106" t="str">
        <f>IF(OR($D13="1 dd",$D13="2 dd",$D13="3 dd",$D13="4 dd",$D13="6 dd",$D13="8 dd",$D13="12 dd",$D13="an",$D13="1 X"),VLOOKUP($D13,PedTblTijden!$A$16:$X$26,PedTblTijden!P$14,FALSE),"")</f>
        <v/>
      </c>
      <c r="W13" s="15" t="str">
        <f>IF(OR($D13="1 dd",$D13="2 dd",$D13="3 dd",$D13="4 dd",$D13="6 dd",$D13="8 dd",$D13="12 dd",$D13="an",$D13="1 X"),VLOOKUP($D13,PedTblTijden!$A$16:$X$26,PedTblTijden!Q$14,FALSE),"")</f>
        <v/>
      </c>
      <c r="X13" s="106" t="str">
        <f>IF(OR($D13="1 dd",$D13="2 dd",$D13="3 dd",$D13="4 dd",$D13="6 dd",$D13="8 dd",$D13="12 dd",$D13="an",$D13="1 X"),VLOOKUP($D13,PedTblTijden!$A$16:$X$26,PedTblTijden!R$14,FALSE),"")</f>
        <v/>
      </c>
      <c r="Y13" s="15" t="str">
        <f>IF(OR($D13="1 dd",$D13="2 dd",$D13="3 dd",$D13="4 dd",$D13="6 dd",$D13="8 dd",$D13="12 dd",$D13="an",$D13="1 X"),VLOOKUP($D13,PedTblTijden!$A$16:$X$26,PedTblTijden!S$14,FALSE),"")</f>
        <v/>
      </c>
      <c r="Z13" s="106" t="str">
        <f>IF(OR($D13="1 dd",$D13="2 dd",$D13="3 dd",$D13="4 dd",$D13="6 dd",$D13="8 dd",$D13="12 dd",$D13="an",$D13="1 X"),VLOOKUP($D13,PedTblTijden!$A$16:$X$26,PedTblTijden!T$14,FALSE),"")</f>
        <v/>
      </c>
      <c r="AA13" s="15" t="str">
        <f>IF(OR($D13="1 dd",$D13="2 dd",$D13="3 dd",$D13="4 dd",$D13="6 dd",$D13="8 dd",$D13="12 dd",$D13="an",$D13="1 X"),VLOOKUP($D13,PedTblTijden!$A$16:$X$26,PedTblTijden!U$14,FALSE),"")</f>
        <v/>
      </c>
      <c r="AB13" s="106" t="str">
        <f>IF(OR($D13="1 dd",$D13="2 dd",$D13="3 dd",$D13="4 dd",$D13="6 dd",$D13="8 dd",$D13="12 dd",$D13="an",$D13="1 X"),VLOOKUP($D13,PedTblTijden!$A$16:$X$26,PedTblTijden!V$14,FALSE),"")</f>
        <v/>
      </c>
      <c r="AC13" s="15" t="str">
        <f>IF(OR($D13="1 dd",$D13="2 dd",$D13="3 dd",$D13="4 dd",$D13="6 dd",$D13="8 dd",$D13="12 dd",$D13="an",$D13="1 X"),VLOOKUP($D13,PedTblTijden!$A$16:$X$26,PedTblTijden!W$14,FALSE),"")</f>
        <v/>
      </c>
      <c r="AD13" s="106" t="str">
        <f>IF(OR($D13="1 dd",$D13="2 dd",$D13="3 dd",$D13="4 dd",$D13="6 dd",$D13="8 dd",$D13="12 dd",$D13="an",$D13="1 X"),VLOOKUP($D13,PedTblTijden!$A$16:$X$26,PedTblTijden!X$14,FALSE),"")</f>
        <v/>
      </c>
      <c r="AE13" s="17"/>
      <c r="AF13" s="105"/>
      <c r="AG13" s="17"/>
    </row>
    <row r="14" spans="1:33" ht="26.1" customHeight="1" x14ac:dyDescent="0.35">
      <c r="B14" s="107"/>
      <c r="C14" s="231" t="str">
        <f>IF(PedBerMedDisc!C13&lt;&gt;"",IF(PedBerMedDisc!C13&gt;1,TRIM(PedBerMedDisc!C13)&amp;", "&amp;GlobBerOpm!C18&amp;" ("&amp;PedBerMedDisc!M13&amp;" "&amp;PedBerMedDisc!F13&amp;"/kg/dag)",TRIM(PedBerMedDisc!C13)&amp;", "&amp;GlobBerOpm!C18),"")</f>
        <v/>
      </c>
      <c r="D14" s="232" t="str">
        <f>IF(PedGuiMedDisc!H28&lt;&gt;"",PedGuiMedDisc!H28,"")</f>
        <v/>
      </c>
      <c r="E14" s="233" t="str">
        <f>IF(AND(D14&lt;&gt;"",D14&lt;&gt;"STOP"),PedBerMedDisc!H13&amp;" "&amp;PedBerMedDisc!F13,"")</f>
        <v/>
      </c>
      <c r="F14" s="233" t="str">
        <f>IF(AND(D14&lt;&gt;"",D14&lt;&gt;"STOP"),PedBerMedDisc!L13," ")</f>
        <v xml:space="preserve"> </v>
      </c>
      <c r="G14" s="233" t="str">
        <f>IF(PedGuiMedDisc!L28&lt;&gt;"",PedGuiMedDisc!L28&amp;" "&amp;PedGuiMedDisc!M28&amp;" "&amp;INDEX(PedBerMedDisc!$B$27:$B$30,PedBerMedDisc!O13,1)&amp;" in "&amp;PedGuiMedDisc!$O$28,"")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IF(PedBerMedDisc!C14&lt;&gt;"",IF(PedBerMedDisc!C14&gt;1,TRIM(PedBerMedDisc!C14)&amp;", "&amp;GlobBerOpm!C19&amp;" ("&amp;PedBerMedDisc!M14&amp;" "&amp;PedBerMedDisc!F14&amp;"/kg/dag)",TRIM(PedBerMedDisc!C14)&amp;", "&amp;GlobBerOpm!C19),"")</f>
        <v/>
      </c>
      <c r="D15" s="232" t="str">
        <f>IF(PedGuiMedDisc!H30&lt;&gt;"",PedGuiMedDisc!H30,"")</f>
        <v/>
      </c>
      <c r="E15" s="233" t="str">
        <f>IF(AND(D15&lt;&gt;"",D15&lt;&gt;"STOP"),PedBerMedDisc!H14&amp;" "&amp;PedBerMedDisc!F14,"")</f>
        <v/>
      </c>
      <c r="F15" s="233" t="str">
        <f>IF(AND(D15&lt;&gt;"",D15&lt;&gt;"STOP"),PedBerMedDisc!L14," ")</f>
        <v xml:space="preserve"> </v>
      </c>
      <c r="G15" s="233" t="str">
        <f>IF(PedGuiMedDisc!L30&lt;&gt;"",PedGuiMedDisc!L30&amp;" "&amp;PedGuiMedDisc!M30&amp;" "&amp;INDEX(PedBerMedDisc!$B$27:$B$30,PedBerMedDisc!O14,1)&amp;" in "&amp;PedGuiMedDisc!$O$30,"")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IF(PedBerMedDisc!C15&lt;&gt;"",IF(PedBerMedDisc!C15&gt;1,TRIM(PedBerMedDisc!C15)&amp;", "&amp;GlobBerOpm!C20&amp;" ("&amp;PedBerMedDisc!M15&amp;" "&amp;PedBerMedDisc!F15&amp;"/kg/dag)",TRIM(PedBerMedDisc!C15)&amp;", "&amp;GlobBerOpm!C20),"")</f>
        <v/>
      </c>
      <c r="D16" s="232" t="str">
        <f>IF(PedGuiMedDisc!H32&lt;&gt;"",PedGuiMedDisc!H32,"")</f>
        <v/>
      </c>
      <c r="E16" s="233" t="str">
        <f>IF(AND(D16&lt;&gt;"",D16&lt;&gt;"STOP"),PedBerMedDisc!H15&amp;" "&amp;PedBerMedDisc!F15,"")</f>
        <v/>
      </c>
      <c r="F16" s="233" t="str">
        <f>IF(AND(D16&lt;&gt;"",D16&lt;&gt;"STOP"),PedBerMedDisc!L15," ")</f>
        <v xml:space="preserve"> </v>
      </c>
      <c r="G16" s="233" t="str">
        <f>IF(PedGuiMedDisc!L32&lt;&gt;"",PedGuiMedDisc!L32&amp;" "&amp;PedGuiMedDisc!M32&amp;" "&amp;INDEX(PedBerMedDisc!$B$27:$B$30,PedBerMedDisc!O15,1)&amp;" in "&amp;PedGuiMedDisc!$O$32,"")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IF(PedBerMedDisc!C16&lt;&gt;"",IF(PedBerMedDisc!C16&gt;1,TRIM(PedBerMedDisc!C16)&amp;", "&amp;GlobBerOpm!C21&amp;" ("&amp;PedBerMedDisc!M16&amp;" "&amp;PedBerMedDisc!F16&amp;"/kg/dag)",TRIM(PedBerMedDisc!C16)&amp;", "&amp;GlobBerOpm!C21),"")</f>
        <v/>
      </c>
      <c r="D17" s="232" t="str">
        <f>IF(PedGuiMedDisc!H34&lt;&gt;"",PedGuiMedDisc!H34,"")</f>
        <v/>
      </c>
      <c r="E17" s="233" t="str">
        <f>IF(AND(D17&lt;&gt;"",D17&lt;&gt;"STOP"),PedBerMedDisc!H16&amp;" "&amp;PedBerMedDisc!F16,"")</f>
        <v/>
      </c>
      <c r="F17" s="233" t="str">
        <f>IF(AND(D17&lt;&gt;"",D17&lt;&gt;"STOP"),PedBerMedDisc!L16," ")</f>
        <v xml:space="preserve"> </v>
      </c>
      <c r="G17" s="233" t="str">
        <f>IF(PedGuiMedDisc!L34&lt;&gt;"",PedGuiMedDisc!L34&amp;" "&amp;PedGuiMedDisc!M34&amp;" "&amp;INDEX(PedBerMedDisc!$B$27:$B$30,PedBerMedDisc!O16,1)&amp;" in "&amp;PedGuiMedDisc!$O$34,"")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IF(PedBerMedDisc!C17&lt;&gt;"",IF(PedBerMedDisc!C17&gt;1,TRIM(PedBerMedDisc!C17)&amp;", "&amp;GlobBerOpm!C22&amp;" ("&amp;PedBerMedDisc!M17&amp;" "&amp;PedBerMedDisc!F17&amp;"/kg/dag)",TRIM(PedBerMedDisc!C17)&amp;", "&amp;GlobBerOpm!C22),"")</f>
        <v/>
      </c>
      <c r="D18" s="232" t="str">
        <f>IF(PedGuiMedDisc!H36&lt;&gt;"",PedGuiMedDisc!H36,"")</f>
        <v/>
      </c>
      <c r="E18" s="233" t="str">
        <f>IF(AND(D18&lt;&gt;"",D18&lt;&gt;"STOP"),PedBerMedDisc!H17&amp;" "&amp;PedBerMedDisc!F17,"")</f>
        <v/>
      </c>
      <c r="F18" s="233" t="str">
        <f>IF(AND(D18&lt;&gt;"",D18&lt;&gt;"STOP"),PedBerMedDisc!L17," ")</f>
        <v xml:space="preserve"> </v>
      </c>
      <c r="G18" s="233" t="str">
        <f>IF(PedGuiMedDisc!L36&lt;&gt;"",PedGuiMedDisc!L36&amp;" "&amp;PedGuiMedDisc!M36&amp;" "&amp;INDEX(PedBerMedDisc!$B$27:$B$30,PedBerMedDisc!O17,1)&amp;" in "&amp;PedGuiMedDisc!$O$36,"")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IF(PedBerMedDisc!C18&lt;&gt;"",IF(PedBerMedDisc!C18&gt;1,TRIM(PedBerMedDisc!C18)&amp;", "&amp;GlobBerOpm!C23&amp;" ("&amp;PedBerMedDisc!M18&amp;" "&amp;PedBerMedDisc!F18&amp;"/kg/dag)",TRIM(PedBerMedDisc!C18)&amp;", "&amp;GlobBerOpm!C23),"")</f>
        <v/>
      </c>
      <c r="D19" s="232" t="str">
        <f>IF(PedGuiMedDisc!H38&lt;&gt;"",PedGuiMedDisc!H38,"")</f>
        <v/>
      </c>
      <c r="E19" s="233" t="str">
        <f>IF(AND(D19&lt;&gt;"",D19&lt;&gt;"STOP"),PedBerMedDisc!H18&amp;" "&amp;PedBerMedDisc!F18,"")</f>
        <v/>
      </c>
      <c r="F19" s="233" t="str">
        <f>IF(AND(D19&lt;&gt;"",D19&lt;&gt;"STOP"),PedBerMedDisc!L18," ")</f>
        <v xml:space="preserve"> </v>
      </c>
      <c r="G19" s="233" t="str">
        <f>IF(PedGuiMedDisc!L38&lt;&gt;"",PedGuiMedDisc!L38&amp;" "&amp;PedGuiMedDisc!M38&amp;" "&amp;INDEX(PedBerMedDisc!$B$27:$B$30,PedBerMedDisc!O18,1)&amp;" in "&amp;PedGuiMedDisc!$O$38,"")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IF(PedBerMedDisc!C19&lt;&gt;"",IF(PedBerMedDisc!C19&gt;1,TRIM(PedBerMedDisc!C19)&amp;", "&amp;GlobBerOpm!C24&amp;" ("&amp;PedBerMedDisc!M19&amp;" "&amp;PedBerMedDisc!F19&amp;"/kg/dag)",TRIM(PedBerMedDisc!C19)&amp;", "&amp;GlobBerOpm!C24),"")</f>
        <v/>
      </c>
      <c r="D20" s="232" t="str">
        <f>IF(PedGuiMedDisc!H40&lt;&gt;"",PedGuiMedDisc!H40,"")</f>
        <v/>
      </c>
      <c r="E20" s="233" t="str">
        <f>IF(AND(D20&lt;&gt;"",D20&lt;&gt;"STOP"),PedBerMedDisc!H19&amp;" "&amp;PedBerMedDisc!F19,"")</f>
        <v/>
      </c>
      <c r="F20" s="233" t="str">
        <f>IF(AND(D20&lt;&gt;"",D20&lt;&gt;"STOP"),PedBerMedDisc!L19," ")</f>
        <v xml:space="preserve"> </v>
      </c>
      <c r="G20" s="233" t="str">
        <f>IF(PedGuiMedDisc!L40&lt;&gt;"",PedGuiMedDisc!L40&amp;" "&amp;PedGuiMedDisc!M40&amp;" "&amp;INDEX(PedBerMedDisc!$B$27:$B$30,PedBerMedDisc!O19,1)&amp;" in "&amp;PedGuiMedDisc!$O$40,"")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IF(PedBerMedDisc!C20&lt;&gt;"",IF(PedBerMedDisc!C20&gt;1,TRIM(PedBerMedDisc!C20)&amp;", "&amp;GlobBerOpm!C25&amp;" ("&amp;PedBerMedDisc!M20&amp;" "&amp;PedBerMedDisc!F20&amp;"/kg/dag)",TRIM(PedBerMedDisc!C20)&amp;", "&amp;GlobBerOpm!C25),"")</f>
        <v/>
      </c>
      <c r="D21" s="232" t="str">
        <f>IF(PedGuiMedDisc!H42&lt;&gt;"",PedGuiMedDisc!H42,"")</f>
        <v/>
      </c>
      <c r="E21" s="233" t="str">
        <f>IF(AND(D21&lt;&gt;"",D21&lt;&gt;"STOP"),PedBerMedDisc!H20&amp;" "&amp;PedBerMedDisc!F20,"")</f>
        <v/>
      </c>
      <c r="F21" s="233" t="str">
        <f>IF(AND(D21&lt;&gt;"",D21&lt;&gt;"STOP"),PedBerMedDisc!L20," ")</f>
        <v xml:space="preserve"> </v>
      </c>
      <c r="G21" s="233" t="str">
        <f>IF(PedGuiMedDisc!L42&lt;&gt;"",PedGuiMedDisc!L42&amp;" "&amp;PedGuiMedDisc!M42&amp;" "&amp;INDEX(PedBerMedDisc!$B$27:$B$30,PedBerMedDisc!O20,1)&amp;" in "&amp;PedGuiMedDisc!$O$42,"")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IF(PedBerMedDisc!C21&lt;&gt;"",IF(PedBerMedDisc!C21&gt;1,TRIM(PedBerMedDisc!C21)&amp;", "&amp;GlobBerOpm!C26&amp;" ("&amp;PedBerMedDisc!M21&amp;" "&amp;PedBerMedDisc!F21&amp;"/kg/dag)",TRIM(PedBerMedDisc!C21)&amp;", "&amp;GlobBerOpm!C26),"")</f>
        <v/>
      </c>
      <c r="D22" s="232" t="str">
        <f>IF(PedGuiMedDisc!H44&lt;&gt;"",PedGuiMedDisc!H44,"")</f>
        <v/>
      </c>
      <c r="E22" s="233" t="str">
        <f>IF(AND(D22&lt;&gt;"",D22&lt;&gt;"STOP"),PedBerMedDisc!H21&amp;" "&amp;PedBerMedDisc!F21,"")</f>
        <v/>
      </c>
      <c r="F22" s="233" t="str">
        <f>IF(AND(D22&lt;&gt;"",D22&lt;&gt;"STOP"),PedBerMedDisc!L21," ")</f>
        <v xml:space="preserve"> </v>
      </c>
      <c r="G22" s="233" t="str">
        <f>IF(PedGuiMedDisc!L44&lt;&gt;"",PedGuiMedDisc!L44&amp;" "&amp;PedGuiMedDisc!M44&amp;" "&amp;INDEX(PedBerMedDisc!$B$27:$B$30,PedBerMedDisc!O21,1)&amp;" in "&amp;PedGuiMedDisc!$O$44,"")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  <row r="23" spans="2:33" s="517" customFormat="1" ht="26.1" customHeight="1" x14ac:dyDescent="0.35">
      <c r="B23" s="107"/>
      <c r="C23" s="231" t="str">
        <f>IF(PedBerMedDisc!C22&lt;&gt;"",IF(PedBerMedDisc!C22&gt;1,TRIM(PedBerMedDisc!C22)&amp;", "&amp;GlobBerOpm!#REF!&amp;" ("&amp;PedBerMedDisc!M22&amp;" "&amp;PedBerMedDisc!F22&amp;"/kg/dag)",TRIM(PedBerMedDisc!C22)&amp;", "&amp;GlobBerOpm!#REF!),"")</f>
        <v/>
      </c>
      <c r="D23" s="232" t="str">
        <f>IF(PedGuiMedDisc!H46&lt;&gt;"",PedGuiMedDisc!H46,"")</f>
        <v/>
      </c>
      <c r="E23" s="233" t="str">
        <f>IF(AND(D23&lt;&gt;"",D23&lt;&gt;"STOP"),PedBerMedDisc!H22&amp;" "&amp;PedBerMedDisc!F22,"")</f>
        <v/>
      </c>
      <c r="F23" s="233" t="str">
        <f>IF(AND(D23&lt;&gt;"",D23&lt;&gt;"STOP"),PedBerMedDisc!L22," ")</f>
        <v xml:space="preserve"> </v>
      </c>
      <c r="G23" s="233" t="str">
        <f>IF(PedGuiMedDisc!L45&lt;&gt;"",PedGuiMedDisc!L45&amp;" "&amp;PedGuiMedDisc!M45&amp;" "&amp;INDEX(PedBerMedDisc!$B$27:$B$30,PedBerMedDisc!O22,1)&amp;" in "&amp;PedGuiMedDisc!$O$44,"")</f>
        <v/>
      </c>
      <c r="H23" s="106" t="str">
        <f>IF(OR($D23="1 dd",$D23="2 dd",$D23="3 dd",$D23="4 dd",$D23="6 dd",$D23="8 dd",$D23="12 dd",$D23="an",$D23="1 X"),VLOOKUP($D23,PedTblTijden!$A$16:$X$26,PedTblTijden!B$14,FALSE),"")</f>
        <v/>
      </c>
      <c r="I23" s="15" t="str">
        <f>IF(OR($D23="1 dd",$D23="2 dd",$D23="3 dd",$D23="4 dd",$D23="6 dd",$D23="8 dd",$D23="12 dd",$D23="an",$D23="1 X"),VLOOKUP($D23,PedTblTijden!$A$16:$X$26,PedTblTijden!C$14,FALSE),"")</f>
        <v/>
      </c>
      <c r="J23" s="106" t="str">
        <f>IF(OR($D23="1 dd",$D23="2 dd",$D23="3 dd",$D23="4 dd",$D23="6 dd",$D23="8 dd",$D23="12 dd",$D23="an",$D23="1 X"),VLOOKUP($D23,PedTblTijden!$A$16:$X$26,PedTblTijden!D$14,FALSE),"")</f>
        <v/>
      </c>
      <c r="K23" s="15" t="str">
        <f>IF(OR($D23="1 dd",$D23="2 dd",$D23="3 dd",$D23="4 dd",$D23="6 dd",$D23="8 dd",$D23="12 dd",$D23="an",$D23="1 X"),VLOOKUP($D23,PedTblTijden!$A$16:$X$26,PedTblTijden!E$14,FALSE),"")</f>
        <v/>
      </c>
      <c r="L23" s="106" t="str">
        <f>IF(OR($D23="1 dd",$D23="2 dd",$D23="3 dd",$D23="4 dd",$D23="6 dd",$D23="8 dd",$D23="12 dd",$D23="an",$D23="1 X"),VLOOKUP($D23,PedTblTijden!$A$16:$X$26,PedTblTijden!F$14,FALSE),"")</f>
        <v/>
      </c>
      <c r="M23" s="15" t="str">
        <f>IF(OR($D23="1 dd",$D23="2 dd",$D23="3 dd",$D23="4 dd",$D23="6 dd",$D23="8 dd",$D23="12 dd",$D23="an",$D23="1 X"),VLOOKUP($D23,PedTblTijden!$A$16:$X$26,PedTblTijden!G$14,FALSE),"")</f>
        <v/>
      </c>
      <c r="N23" s="106" t="str">
        <f>IF(OR($D23="1 dd",$D23="2 dd",$D23="3 dd",$D23="4 dd",$D23="6 dd",$D23="8 dd",$D23="12 dd",$D23="an",$D23="1 X"),VLOOKUP($D23,PedTblTijden!$A$16:$X$26,PedTblTijden!H$14,FALSE),"")</f>
        <v/>
      </c>
      <c r="O23" s="15" t="str">
        <f>IF(OR($D23="1 dd",$D23="2 dd",$D23="3 dd",$D23="4 dd",$D23="6 dd",$D23="8 dd",$D23="12 dd",$D23="an",$D23="1 X"),VLOOKUP($D23,PedTblTijden!$A$16:$X$26,PedTblTijden!I$14,FALSE),"")</f>
        <v/>
      </c>
      <c r="P23" s="106" t="str">
        <f>IF(OR($D23="1 dd",$D23="2 dd",$D23="3 dd",$D23="4 dd",$D23="6 dd",$D23="8 dd",$D23="12 dd",$D23="an",$D23="1 X"),VLOOKUP($D23,PedTblTijden!$A$16:$X$26,PedTblTijden!J$14,FALSE),"")</f>
        <v/>
      </c>
      <c r="Q23" s="15" t="str">
        <f>IF(OR($D23="1 dd",$D23="2 dd",$D23="3 dd",$D23="4 dd",$D23="6 dd",$D23="8 dd",$D23="12 dd",$D23="an",$D23="1 X"),VLOOKUP($D23,PedTblTijden!$A$16:$X$26,PedTblTijden!K$14,FALSE),"")</f>
        <v/>
      </c>
      <c r="R23" s="106" t="str">
        <f>IF(OR($D23="1 dd",$D23="2 dd",$D23="3 dd",$D23="4 dd",$D23="6 dd",$D23="8 dd",$D23="12 dd",$D23="an",$D23="1 X"),VLOOKUP($D23,PedTblTijden!$A$16:$X$26,PedTblTijden!L$14,FALSE),"")</f>
        <v/>
      </c>
      <c r="S23" s="15" t="str">
        <f>IF(OR($D23="1 dd",$D23="2 dd",$D23="3 dd",$D23="4 dd",$D23="6 dd",$D23="8 dd",$D23="12 dd",$D23="an",$D23="1 X"),VLOOKUP($D23,PedTblTijden!$A$16:$X$26,PedTblTijden!M$14,FALSE),"")</f>
        <v/>
      </c>
      <c r="T23" s="106" t="str">
        <f>IF(OR($D23="1 dd",$D23="2 dd",$D23="3 dd",$D23="4 dd",$D23="6 dd",$D23="8 dd",$D23="12 dd",$D23="an",$D23="1 X"),VLOOKUP($D23,PedTblTijden!$A$16:$X$26,PedTblTijden!N$14,FALSE),"")</f>
        <v/>
      </c>
      <c r="U23" s="15" t="str">
        <f>IF(OR($D23="1 dd",$D23="2 dd",$D23="3 dd",$D23="4 dd",$D23="6 dd",$D23="8 dd",$D23="12 dd",$D23="an",$D23="1 X"),VLOOKUP($D23,PedTblTijden!$A$16:$X$26,PedTblTijden!O$14,FALSE),"")</f>
        <v/>
      </c>
      <c r="V23" s="106" t="str">
        <f>IF(OR($D23="1 dd",$D23="2 dd",$D23="3 dd",$D23="4 dd",$D23="6 dd",$D23="8 dd",$D23="12 dd",$D23="an",$D23="1 X"),VLOOKUP($D23,PedTblTijden!$A$16:$X$26,PedTblTijden!P$14,FALSE),"")</f>
        <v/>
      </c>
      <c r="W23" s="15" t="str">
        <f>IF(OR($D23="1 dd",$D23="2 dd",$D23="3 dd",$D23="4 dd",$D23="6 dd",$D23="8 dd",$D23="12 dd",$D23="an",$D23="1 X"),VLOOKUP($D23,PedTblTijden!$A$16:$X$26,PedTblTijden!Q$14,FALSE),"")</f>
        <v/>
      </c>
      <c r="X23" s="106" t="str">
        <f>IF(OR($D23="1 dd",$D23="2 dd",$D23="3 dd",$D23="4 dd",$D23="6 dd",$D23="8 dd",$D23="12 dd",$D23="an",$D23="1 X"),VLOOKUP($D23,PedTblTijden!$A$16:$X$26,PedTblTijden!R$14,FALSE),"")</f>
        <v/>
      </c>
      <c r="Y23" s="15" t="str">
        <f>IF(OR($D23="1 dd",$D23="2 dd",$D23="3 dd",$D23="4 dd",$D23="6 dd",$D23="8 dd",$D23="12 dd",$D23="an",$D23="1 X"),VLOOKUP($D23,PedTblTijden!$A$16:$X$26,PedTblTijden!S$14,FALSE),"")</f>
        <v/>
      </c>
      <c r="Z23" s="106" t="str">
        <f>IF(OR($D23="1 dd",$D23="2 dd",$D23="3 dd",$D23="4 dd",$D23="6 dd",$D23="8 dd",$D23="12 dd",$D23="an",$D23="1 X"),VLOOKUP($D23,PedTblTijden!$A$16:$X$26,PedTblTijden!T$14,FALSE),"")</f>
        <v/>
      </c>
      <c r="AA23" s="15" t="str">
        <f>IF(OR($D23="1 dd",$D23="2 dd",$D23="3 dd",$D23="4 dd",$D23="6 dd",$D23="8 dd",$D23="12 dd",$D23="an",$D23="1 X"),VLOOKUP($D23,PedTblTijden!$A$16:$X$26,PedTblTijden!U$14,FALSE),"")</f>
        <v/>
      </c>
      <c r="AB23" s="106" t="str">
        <f>IF(OR($D23="1 dd",$D23="2 dd",$D23="3 dd",$D23="4 dd",$D23="6 dd",$D23="8 dd",$D23="12 dd",$D23="an",$D23="1 X"),VLOOKUP($D23,PedTblTijden!$A$16:$X$26,PedTblTijden!V$14,FALSE),"")</f>
        <v/>
      </c>
      <c r="AC23" s="15" t="str">
        <f>IF(OR($D23="1 dd",$D23="2 dd",$D23="3 dd",$D23="4 dd",$D23="6 dd",$D23="8 dd",$D23="12 dd",$D23="an",$D23="1 X"),VLOOKUP($D23,PedTblTijden!$A$16:$X$26,PedTblTijden!W$14,FALSE),"")</f>
        <v/>
      </c>
      <c r="AD23" s="106" t="str">
        <f>IF(OR($D23="1 dd",$D23="2 dd",$D23="3 dd",$D23="4 dd",$D23="6 dd",$D23="8 dd",$D23="12 dd",$D23="an",$D23="1 X"),VLOOKUP($D23,PedTblTijden!$A$16:$X$26,PedTblTijden!X$14,FALSE),"")</f>
        <v/>
      </c>
      <c r="AE23" s="17"/>
      <c r="AF23" s="105"/>
      <c r="AG23" s="17"/>
    </row>
    <row r="24" spans="2:33" s="517" customFormat="1" ht="26.1" customHeight="1" x14ac:dyDescent="0.35">
      <c r="B24" s="107"/>
      <c r="C24" s="231" t="str">
        <f>IF(PedBerMedDisc!C23&lt;&gt;"",IF(PedBerMedDisc!C23&gt;1,TRIM(PedBerMedDisc!C23)&amp;", "&amp;GlobBerOpm!C27&amp;" ("&amp;PedBerMedDisc!M23&amp;" "&amp;PedBerMedDisc!F23&amp;"/kg/dag)",TRIM(PedBerMedDisc!C23)&amp;", "&amp;GlobBerOpm!C27),"")</f>
        <v/>
      </c>
      <c r="D24" s="232" t="str">
        <f>IF(PedGuiMedDisc!H48&lt;&gt;"",PedGuiMedDisc!H48,"")</f>
        <v/>
      </c>
      <c r="E24" s="233" t="str">
        <f>IF(AND(D24&lt;&gt;"",D24&lt;&gt;"STOP"),PedBerMedDisc!H23&amp;" "&amp;PedBerMedDisc!F23,"")</f>
        <v/>
      </c>
      <c r="F24" s="233" t="str">
        <f>IF(AND(D24&lt;&gt;"",D24&lt;&gt;"STOP"),PedBerMedDisc!L23," ")</f>
        <v xml:space="preserve"> </v>
      </c>
      <c r="G24" s="233" t="str">
        <f>IF(PedGuiMedDisc!L46&lt;&gt;"",PedGuiMedDisc!L46&amp;" "&amp;PedGuiMedDisc!M46&amp;" "&amp;INDEX(PedBerMedDisc!$B$27:$B$30,PedBerMedDisc!O23,1)&amp;" in "&amp;PedGuiMedDisc!$O$44,"")</f>
        <v/>
      </c>
      <c r="H24" s="106" t="str">
        <f>IF(OR($D24="1 dd",$D24="2 dd",$D24="3 dd",$D24="4 dd",$D24="6 dd",$D24="8 dd",$D24="12 dd",$D24="an",$D24="1 X"),VLOOKUP($D24,PedTblTijden!$A$16:$X$26,PedTblTijden!B$14,FALSE),"")</f>
        <v/>
      </c>
      <c r="I24" s="15" t="str">
        <f>IF(OR($D24="1 dd",$D24="2 dd",$D24="3 dd",$D24="4 dd",$D24="6 dd",$D24="8 dd",$D24="12 dd",$D24="an",$D24="1 X"),VLOOKUP($D24,PedTblTijden!$A$16:$X$26,PedTblTijden!C$14,FALSE),"")</f>
        <v/>
      </c>
      <c r="J24" s="106" t="str">
        <f>IF(OR($D24="1 dd",$D24="2 dd",$D24="3 dd",$D24="4 dd",$D24="6 dd",$D24="8 dd",$D24="12 dd",$D24="an",$D24="1 X"),VLOOKUP($D24,PedTblTijden!$A$16:$X$26,PedTblTijden!D$14,FALSE),"")</f>
        <v/>
      </c>
      <c r="K24" s="15" t="str">
        <f>IF(OR($D24="1 dd",$D24="2 dd",$D24="3 dd",$D24="4 dd",$D24="6 dd",$D24="8 dd",$D24="12 dd",$D24="an",$D24="1 X"),VLOOKUP($D24,PedTblTijden!$A$16:$X$26,PedTblTijden!E$14,FALSE),"")</f>
        <v/>
      </c>
      <c r="L24" s="106" t="str">
        <f>IF(OR($D24="1 dd",$D24="2 dd",$D24="3 dd",$D24="4 dd",$D24="6 dd",$D24="8 dd",$D24="12 dd",$D24="an",$D24="1 X"),VLOOKUP($D24,PedTblTijden!$A$16:$X$26,PedTblTijden!F$14,FALSE),"")</f>
        <v/>
      </c>
      <c r="M24" s="15" t="str">
        <f>IF(OR($D24="1 dd",$D24="2 dd",$D24="3 dd",$D24="4 dd",$D24="6 dd",$D24="8 dd",$D24="12 dd",$D24="an",$D24="1 X"),VLOOKUP($D24,PedTblTijden!$A$16:$X$26,PedTblTijden!G$14,FALSE),"")</f>
        <v/>
      </c>
      <c r="N24" s="106" t="str">
        <f>IF(OR($D24="1 dd",$D24="2 dd",$D24="3 dd",$D24="4 dd",$D24="6 dd",$D24="8 dd",$D24="12 dd",$D24="an",$D24="1 X"),VLOOKUP($D24,PedTblTijden!$A$16:$X$26,PedTblTijden!H$14,FALSE),"")</f>
        <v/>
      </c>
      <c r="O24" s="15" t="str">
        <f>IF(OR($D24="1 dd",$D24="2 dd",$D24="3 dd",$D24="4 dd",$D24="6 dd",$D24="8 dd",$D24="12 dd",$D24="an",$D24="1 X"),VLOOKUP($D24,PedTblTijden!$A$16:$X$26,PedTblTijden!I$14,FALSE),"")</f>
        <v/>
      </c>
      <c r="P24" s="106" t="str">
        <f>IF(OR($D24="1 dd",$D24="2 dd",$D24="3 dd",$D24="4 dd",$D24="6 dd",$D24="8 dd",$D24="12 dd",$D24="an",$D24="1 X"),VLOOKUP($D24,PedTblTijden!$A$16:$X$26,PedTblTijden!J$14,FALSE),"")</f>
        <v/>
      </c>
      <c r="Q24" s="15" t="str">
        <f>IF(OR($D24="1 dd",$D24="2 dd",$D24="3 dd",$D24="4 dd",$D24="6 dd",$D24="8 dd",$D24="12 dd",$D24="an",$D24="1 X"),VLOOKUP($D24,PedTblTijden!$A$16:$X$26,PedTblTijden!K$14,FALSE),"")</f>
        <v/>
      </c>
      <c r="R24" s="106" t="str">
        <f>IF(OR($D24="1 dd",$D24="2 dd",$D24="3 dd",$D24="4 dd",$D24="6 dd",$D24="8 dd",$D24="12 dd",$D24="an",$D24="1 X"),VLOOKUP($D24,PedTblTijden!$A$16:$X$26,PedTblTijden!L$14,FALSE),"")</f>
        <v/>
      </c>
      <c r="S24" s="15" t="str">
        <f>IF(OR($D24="1 dd",$D24="2 dd",$D24="3 dd",$D24="4 dd",$D24="6 dd",$D24="8 dd",$D24="12 dd",$D24="an",$D24="1 X"),VLOOKUP($D24,PedTblTijden!$A$16:$X$26,PedTblTijden!M$14,FALSE),"")</f>
        <v/>
      </c>
      <c r="T24" s="106" t="str">
        <f>IF(OR($D24="1 dd",$D24="2 dd",$D24="3 dd",$D24="4 dd",$D24="6 dd",$D24="8 dd",$D24="12 dd",$D24="an",$D24="1 X"),VLOOKUP($D24,PedTblTijden!$A$16:$X$26,PedTblTijden!N$14,FALSE),"")</f>
        <v/>
      </c>
      <c r="U24" s="15" t="str">
        <f>IF(OR($D24="1 dd",$D24="2 dd",$D24="3 dd",$D24="4 dd",$D24="6 dd",$D24="8 dd",$D24="12 dd",$D24="an",$D24="1 X"),VLOOKUP($D24,PedTblTijden!$A$16:$X$26,PedTblTijden!O$14,FALSE),"")</f>
        <v/>
      </c>
      <c r="V24" s="106" t="str">
        <f>IF(OR($D24="1 dd",$D24="2 dd",$D24="3 dd",$D24="4 dd",$D24="6 dd",$D24="8 dd",$D24="12 dd",$D24="an",$D24="1 X"),VLOOKUP($D24,PedTblTijden!$A$16:$X$26,PedTblTijden!P$14,FALSE),"")</f>
        <v/>
      </c>
      <c r="W24" s="15" t="str">
        <f>IF(OR($D24="1 dd",$D24="2 dd",$D24="3 dd",$D24="4 dd",$D24="6 dd",$D24="8 dd",$D24="12 dd",$D24="an",$D24="1 X"),VLOOKUP($D24,PedTblTijden!$A$16:$X$26,PedTblTijden!Q$14,FALSE),"")</f>
        <v/>
      </c>
      <c r="X24" s="106" t="str">
        <f>IF(OR($D24="1 dd",$D24="2 dd",$D24="3 dd",$D24="4 dd",$D24="6 dd",$D24="8 dd",$D24="12 dd",$D24="an",$D24="1 X"),VLOOKUP($D24,PedTblTijden!$A$16:$X$26,PedTblTijden!R$14,FALSE),"")</f>
        <v/>
      </c>
      <c r="Y24" s="15" t="str">
        <f>IF(OR($D24="1 dd",$D24="2 dd",$D24="3 dd",$D24="4 dd",$D24="6 dd",$D24="8 dd",$D24="12 dd",$D24="an",$D24="1 X"),VLOOKUP($D24,PedTblTijden!$A$16:$X$26,PedTblTijden!S$14,FALSE),"")</f>
        <v/>
      </c>
      <c r="Z24" s="106" t="str">
        <f>IF(OR($D24="1 dd",$D24="2 dd",$D24="3 dd",$D24="4 dd",$D24="6 dd",$D24="8 dd",$D24="12 dd",$D24="an",$D24="1 X"),VLOOKUP($D24,PedTblTijden!$A$16:$X$26,PedTblTijden!T$14,FALSE),"")</f>
        <v/>
      </c>
      <c r="AA24" s="15" t="str">
        <f>IF(OR($D24="1 dd",$D24="2 dd",$D24="3 dd",$D24="4 dd",$D24="6 dd",$D24="8 dd",$D24="12 dd",$D24="an",$D24="1 X"),VLOOKUP($D24,PedTblTijden!$A$16:$X$26,PedTblTijden!U$14,FALSE),"")</f>
        <v/>
      </c>
      <c r="AB24" s="106" t="str">
        <f>IF(OR($D24="1 dd",$D24="2 dd",$D24="3 dd",$D24="4 dd",$D24="6 dd",$D24="8 dd",$D24="12 dd",$D24="an",$D24="1 X"),VLOOKUP($D24,PedTblTijden!$A$16:$X$26,PedTblTijden!V$14,FALSE),"")</f>
        <v/>
      </c>
      <c r="AC24" s="15" t="str">
        <f>IF(OR($D24="1 dd",$D24="2 dd",$D24="3 dd",$D24="4 dd",$D24="6 dd",$D24="8 dd",$D24="12 dd",$D24="an",$D24="1 X"),VLOOKUP($D24,PedTblTijden!$A$16:$X$26,PedTblTijden!W$14,FALSE),"")</f>
        <v/>
      </c>
      <c r="AD24" s="106" t="str">
        <f>IF(OR($D24="1 dd",$D24="2 dd",$D24="3 dd",$D24="4 dd",$D24="6 dd",$D24="8 dd",$D24="12 dd",$D24="an",$D24="1 X"),VLOOKUP($D24,PedTblTijden!$A$16:$X$26,PedTblTijden!X$14,FALSE),"")</f>
        <v/>
      </c>
      <c r="AE24" s="17"/>
      <c r="AF24" s="105"/>
      <c r="AG24" s="17"/>
    </row>
    <row r="25" spans="2:33" s="517" customFormat="1" ht="26.1" customHeight="1" x14ac:dyDescent="0.35">
      <c r="B25" s="107"/>
      <c r="C25" s="231" t="str">
        <f>IF(PedBerMedDisc!C24&lt;&gt;"",IF(PedBerMedDisc!C24&gt;1,TRIM(PedBerMedDisc!C24)&amp;", "&amp;GlobBerOpm!C28&amp;" ("&amp;PedBerMedDisc!M24&amp;" "&amp;PedBerMedDisc!F24&amp;"/kg/dag)",TRIM(PedBerMedDisc!C24)&amp;", "&amp;GlobBerOpm!C28),"")</f>
        <v/>
      </c>
      <c r="D25" s="232" t="str">
        <f>IF(PedGuiMedDisc!H50&lt;&gt;"",PedGuiMedDisc!H50,"")</f>
        <v/>
      </c>
      <c r="E25" s="233" t="str">
        <f>IF(AND(D25&lt;&gt;"",D25&lt;&gt;"STOP"),PedBerMedDisc!H24&amp;" "&amp;PedBerMedDisc!F24,"")</f>
        <v/>
      </c>
      <c r="F25" s="233" t="str">
        <f>IF(AND(D25&lt;&gt;"",D25&lt;&gt;"STOP"),PedBerMedDisc!L24," ")</f>
        <v xml:space="preserve"> </v>
      </c>
      <c r="G25" s="233" t="str">
        <f>IF(PedGuiMedDisc!L47&lt;&gt;"",PedGuiMedDisc!L47&amp;" "&amp;PedGuiMedDisc!M47&amp;" "&amp;INDEX(PedBerMedDisc!$B$27:$B$30,PedBerMedDisc!O24,1)&amp;" in "&amp;PedGuiMedDisc!$O$44,"")</f>
        <v/>
      </c>
      <c r="H25" s="106" t="str">
        <f>IF(OR($D25="1 dd",$D25="2 dd",$D25="3 dd",$D25="4 dd",$D25="6 dd",$D25="8 dd",$D25="12 dd",$D25="an",$D25="1 X"),VLOOKUP($D25,PedTblTijden!$A$16:$X$26,PedTblTijden!B$14,FALSE),"")</f>
        <v/>
      </c>
      <c r="I25" s="15" t="str">
        <f>IF(OR($D25="1 dd",$D25="2 dd",$D25="3 dd",$D25="4 dd",$D25="6 dd",$D25="8 dd",$D25="12 dd",$D25="an",$D25="1 X"),VLOOKUP($D25,PedTblTijden!$A$16:$X$26,PedTblTijden!C$14,FALSE),"")</f>
        <v/>
      </c>
      <c r="J25" s="106" t="str">
        <f>IF(OR($D25="1 dd",$D25="2 dd",$D25="3 dd",$D25="4 dd",$D25="6 dd",$D25="8 dd",$D25="12 dd",$D25="an",$D25="1 X"),VLOOKUP($D25,PedTblTijden!$A$16:$X$26,PedTblTijden!D$14,FALSE),"")</f>
        <v/>
      </c>
      <c r="K25" s="15" t="str">
        <f>IF(OR($D25="1 dd",$D25="2 dd",$D25="3 dd",$D25="4 dd",$D25="6 dd",$D25="8 dd",$D25="12 dd",$D25="an",$D25="1 X"),VLOOKUP($D25,PedTblTijden!$A$16:$X$26,PedTblTijden!E$14,FALSE),"")</f>
        <v/>
      </c>
      <c r="L25" s="106" t="str">
        <f>IF(OR($D25="1 dd",$D25="2 dd",$D25="3 dd",$D25="4 dd",$D25="6 dd",$D25="8 dd",$D25="12 dd",$D25="an",$D25="1 X"),VLOOKUP($D25,PedTblTijden!$A$16:$X$26,PedTblTijden!F$14,FALSE),"")</f>
        <v/>
      </c>
      <c r="M25" s="15" t="str">
        <f>IF(OR($D25="1 dd",$D25="2 dd",$D25="3 dd",$D25="4 dd",$D25="6 dd",$D25="8 dd",$D25="12 dd",$D25="an",$D25="1 X"),VLOOKUP($D25,PedTblTijden!$A$16:$X$26,PedTblTijden!G$14,FALSE),"")</f>
        <v/>
      </c>
      <c r="N25" s="106" t="str">
        <f>IF(OR($D25="1 dd",$D25="2 dd",$D25="3 dd",$D25="4 dd",$D25="6 dd",$D25="8 dd",$D25="12 dd",$D25="an",$D25="1 X"),VLOOKUP($D25,PedTblTijden!$A$16:$X$26,PedTblTijden!H$14,FALSE),"")</f>
        <v/>
      </c>
      <c r="O25" s="15" t="str">
        <f>IF(OR($D25="1 dd",$D25="2 dd",$D25="3 dd",$D25="4 dd",$D25="6 dd",$D25="8 dd",$D25="12 dd",$D25="an",$D25="1 X"),VLOOKUP($D25,PedTblTijden!$A$16:$X$26,PedTblTijden!I$14,FALSE),"")</f>
        <v/>
      </c>
      <c r="P25" s="106" t="str">
        <f>IF(OR($D25="1 dd",$D25="2 dd",$D25="3 dd",$D25="4 dd",$D25="6 dd",$D25="8 dd",$D25="12 dd",$D25="an",$D25="1 X"),VLOOKUP($D25,PedTblTijden!$A$16:$X$26,PedTblTijden!J$14,FALSE),"")</f>
        <v/>
      </c>
      <c r="Q25" s="15" t="str">
        <f>IF(OR($D25="1 dd",$D25="2 dd",$D25="3 dd",$D25="4 dd",$D25="6 dd",$D25="8 dd",$D25="12 dd",$D25="an",$D25="1 X"),VLOOKUP($D25,PedTblTijden!$A$16:$X$26,PedTblTijden!K$14,FALSE),"")</f>
        <v/>
      </c>
      <c r="R25" s="106" t="str">
        <f>IF(OR($D25="1 dd",$D25="2 dd",$D25="3 dd",$D25="4 dd",$D25="6 dd",$D25="8 dd",$D25="12 dd",$D25="an",$D25="1 X"),VLOOKUP($D25,PedTblTijden!$A$16:$X$26,PedTblTijden!L$14,FALSE),"")</f>
        <v/>
      </c>
      <c r="S25" s="15" t="str">
        <f>IF(OR($D25="1 dd",$D25="2 dd",$D25="3 dd",$D25="4 dd",$D25="6 dd",$D25="8 dd",$D25="12 dd",$D25="an",$D25="1 X"),VLOOKUP($D25,PedTblTijden!$A$16:$X$26,PedTblTijden!M$14,FALSE),"")</f>
        <v/>
      </c>
      <c r="T25" s="106" t="str">
        <f>IF(OR($D25="1 dd",$D25="2 dd",$D25="3 dd",$D25="4 dd",$D25="6 dd",$D25="8 dd",$D25="12 dd",$D25="an",$D25="1 X"),VLOOKUP($D25,PedTblTijden!$A$16:$X$26,PedTblTijden!N$14,FALSE),"")</f>
        <v/>
      </c>
      <c r="U25" s="15" t="str">
        <f>IF(OR($D25="1 dd",$D25="2 dd",$D25="3 dd",$D25="4 dd",$D25="6 dd",$D25="8 dd",$D25="12 dd",$D25="an",$D25="1 X"),VLOOKUP($D25,PedTblTijden!$A$16:$X$26,PedTblTijden!O$14,FALSE),"")</f>
        <v/>
      </c>
      <c r="V25" s="106" t="str">
        <f>IF(OR($D25="1 dd",$D25="2 dd",$D25="3 dd",$D25="4 dd",$D25="6 dd",$D25="8 dd",$D25="12 dd",$D25="an",$D25="1 X"),VLOOKUP($D25,PedTblTijden!$A$16:$X$26,PedTblTijden!P$14,FALSE),"")</f>
        <v/>
      </c>
      <c r="W25" s="15" t="str">
        <f>IF(OR($D25="1 dd",$D25="2 dd",$D25="3 dd",$D25="4 dd",$D25="6 dd",$D25="8 dd",$D25="12 dd",$D25="an",$D25="1 X"),VLOOKUP($D25,PedTblTijden!$A$16:$X$26,PedTblTijden!Q$14,FALSE),"")</f>
        <v/>
      </c>
      <c r="X25" s="106" t="str">
        <f>IF(OR($D25="1 dd",$D25="2 dd",$D25="3 dd",$D25="4 dd",$D25="6 dd",$D25="8 dd",$D25="12 dd",$D25="an",$D25="1 X"),VLOOKUP($D25,PedTblTijden!$A$16:$X$26,PedTblTijden!R$14,FALSE),"")</f>
        <v/>
      </c>
      <c r="Y25" s="15" t="str">
        <f>IF(OR($D25="1 dd",$D25="2 dd",$D25="3 dd",$D25="4 dd",$D25="6 dd",$D25="8 dd",$D25="12 dd",$D25="an",$D25="1 X"),VLOOKUP($D25,PedTblTijden!$A$16:$X$26,PedTblTijden!S$14,FALSE),"")</f>
        <v/>
      </c>
      <c r="Z25" s="106" t="str">
        <f>IF(OR($D25="1 dd",$D25="2 dd",$D25="3 dd",$D25="4 dd",$D25="6 dd",$D25="8 dd",$D25="12 dd",$D25="an",$D25="1 X"),VLOOKUP($D25,PedTblTijden!$A$16:$X$26,PedTblTijden!T$14,FALSE),"")</f>
        <v/>
      </c>
      <c r="AA25" s="15" t="str">
        <f>IF(OR($D25="1 dd",$D25="2 dd",$D25="3 dd",$D25="4 dd",$D25="6 dd",$D25="8 dd",$D25="12 dd",$D25="an",$D25="1 X"),VLOOKUP($D25,PedTblTijden!$A$16:$X$26,PedTblTijden!U$14,FALSE),"")</f>
        <v/>
      </c>
      <c r="AB25" s="106" t="str">
        <f>IF(OR($D25="1 dd",$D25="2 dd",$D25="3 dd",$D25="4 dd",$D25="6 dd",$D25="8 dd",$D25="12 dd",$D25="an",$D25="1 X"),VLOOKUP($D25,PedTblTijden!$A$16:$X$26,PedTblTijden!V$14,FALSE),"")</f>
        <v/>
      </c>
      <c r="AC25" s="15" t="str">
        <f>IF(OR($D25="1 dd",$D25="2 dd",$D25="3 dd",$D25="4 dd",$D25="6 dd",$D25="8 dd",$D25="12 dd",$D25="an",$D25="1 X"),VLOOKUP($D25,PedTblTijden!$A$16:$X$26,PedTblTijden!W$14,FALSE),"")</f>
        <v/>
      </c>
      <c r="AD25" s="106" t="str">
        <f>IF(OR($D25="1 dd",$D25="2 dd",$D25="3 dd",$D25="4 dd",$D25="6 dd",$D25="8 dd",$D25="12 dd",$D25="an",$D25="1 X"),VLOOKUP($D25,PedTblTijden!$A$16:$X$26,PedTblTijden!X$14,FALSE),"")</f>
        <v/>
      </c>
      <c r="AE25" s="17"/>
      <c r="AF25" s="105"/>
      <c r="AG25" s="17"/>
    </row>
    <row r="26" spans="2:33" s="517" customFormat="1" ht="26.1" customHeight="1" x14ac:dyDescent="0.35">
      <c r="B26" s="107"/>
      <c r="C26" s="231" t="str">
        <f>IF(PedBerMedDisc!C25&lt;&gt;"",IF(PedBerMedDisc!C25&gt;1,TRIM(PedBerMedDisc!C25)&amp;", "&amp;GlobBerOpm!C29&amp;" ("&amp;PedBerMedDisc!M25&amp;" "&amp;PedBerMedDisc!F25&amp;"/kg/dag)",TRIM(PedBerMedDisc!C25)&amp;", "&amp;GlobBerOpm!C29),"")</f>
        <v/>
      </c>
      <c r="D26" s="232" t="str">
        <f>IF(PedGuiMedDisc!H52&lt;&gt;"",PedGuiMedDisc!H52,"")</f>
        <v/>
      </c>
      <c r="E26" s="233" t="str">
        <f>IF(AND(D26&lt;&gt;"",D26&lt;&gt;"STOP"),PedBerMedDisc!H25&amp;" "&amp;PedBerMedDisc!F25,"")</f>
        <v/>
      </c>
      <c r="F26" s="233" t="str">
        <f>IF(AND(D26&lt;&gt;"",D26&lt;&gt;"STOP"),PedBerMedDisc!L25," ")</f>
        <v xml:space="preserve"> </v>
      </c>
      <c r="G26" s="233" t="str">
        <f>IF(PedGuiMedDisc!L48&lt;&gt;"",PedGuiMedDisc!L48&amp;" "&amp;PedGuiMedDisc!M48&amp;" "&amp;INDEX(PedBerMedDisc!$B$27:$B$30,PedBerMedDisc!O25,1)&amp;" in "&amp;PedGuiMedDisc!$O$44,"")</f>
        <v/>
      </c>
      <c r="H26" s="106" t="str">
        <f>IF(OR($D26="1 dd",$D26="2 dd",$D26="3 dd",$D26="4 dd",$D26="6 dd",$D26="8 dd",$D26="12 dd",$D26="an",$D26="1 X"),VLOOKUP($D26,PedTblTijden!$A$16:$X$26,PedTblTijden!B$14,FALSE),"")</f>
        <v/>
      </c>
      <c r="I26" s="15" t="str">
        <f>IF(OR($D26="1 dd",$D26="2 dd",$D26="3 dd",$D26="4 dd",$D26="6 dd",$D26="8 dd",$D26="12 dd",$D26="an",$D26="1 X"),VLOOKUP($D26,PedTblTijden!$A$16:$X$26,PedTblTijden!C$14,FALSE),"")</f>
        <v/>
      </c>
      <c r="J26" s="106" t="str">
        <f>IF(OR($D26="1 dd",$D26="2 dd",$D26="3 dd",$D26="4 dd",$D26="6 dd",$D26="8 dd",$D26="12 dd",$D26="an",$D26="1 X"),VLOOKUP($D26,PedTblTijden!$A$16:$X$26,PedTblTijden!D$14,FALSE),"")</f>
        <v/>
      </c>
      <c r="K26" s="15" t="str">
        <f>IF(OR($D26="1 dd",$D26="2 dd",$D26="3 dd",$D26="4 dd",$D26="6 dd",$D26="8 dd",$D26="12 dd",$D26="an",$D26="1 X"),VLOOKUP($D26,PedTblTijden!$A$16:$X$26,PedTblTijden!E$14,FALSE),"")</f>
        <v/>
      </c>
      <c r="L26" s="106" t="str">
        <f>IF(OR($D26="1 dd",$D26="2 dd",$D26="3 dd",$D26="4 dd",$D26="6 dd",$D26="8 dd",$D26="12 dd",$D26="an",$D26="1 X"),VLOOKUP($D26,PedTblTijden!$A$16:$X$26,PedTblTijden!F$14,FALSE),"")</f>
        <v/>
      </c>
      <c r="M26" s="15" t="str">
        <f>IF(OR($D26="1 dd",$D26="2 dd",$D26="3 dd",$D26="4 dd",$D26="6 dd",$D26="8 dd",$D26="12 dd",$D26="an",$D26="1 X"),VLOOKUP($D26,PedTblTijden!$A$16:$X$26,PedTblTijden!G$14,FALSE),"")</f>
        <v/>
      </c>
      <c r="N26" s="106" t="str">
        <f>IF(OR($D26="1 dd",$D26="2 dd",$D26="3 dd",$D26="4 dd",$D26="6 dd",$D26="8 dd",$D26="12 dd",$D26="an",$D26="1 X"),VLOOKUP($D26,PedTblTijden!$A$16:$X$26,PedTblTijden!H$14,FALSE),"")</f>
        <v/>
      </c>
      <c r="O26" s="15" t="str">
        <f>IF(OR($D26="1 dd",$D26="2 dd",$D26="3 dd",$D26="4 dd",$D26="6 dd",$D26="8 dd",$D26="12 dd",$D26="an",$D26="1 X"),VLOOKUP($D26,PedTblTijden!$A$16:$X$26,PedTblTijden!I$14,FALSE),"")</f>
        <v/>
      </c>
      <c r="P26" s="106" t="str">
        <f>IF(OR($D26="1 dd",$D26="2 dd",$D26="3 dd",$D26="4 dd",$D26="6 dd",$D26="8 dd",$D26="12 dd",$D26="an",$D26="1 X"),VLOOKUP($D26,PedTblTijden!$A$16:$X$26,PedTblTijden!J$14,FALSE),"")</f>
        <v/>
      </c>
      <c r="Q26" s="15" t="str">
        <f>IF(OR($D26="1 dd",$D26="2 dd",$D26="3 dd",$D26="4 dd",$D26="6 dd",$D26="8 dd",$D26="12 dd",$D26="an",$D26="1 X"),VLOOKUP($D26,PedTblTijden!$A$16:$X$26,PedTblTijden!K$14,FALSE),"")</f>
        <v/>
      </c>
      <c r="R26" s="106" t="str">
        <f>IF(OR($D26="1 dd",$D26="2 dd",$D26="3 dd",$D26="4 dd",$D26="6 dd",$D26="8 dd",$D26="12 dd",$D26="an",$D26="1 X"),VLOOKUP($D26,PedTblTijden!$A$16:$X$26,PedTblTijden!L$14,FALSE),"")</f>
        <v/>
      </c>
      <c r="S26" s="15" t="str">
        <f>IF(OR($D26="1 dd",$D26="2 dd",$D26="3 dd",$D26="4 dd",$D26="6 dd",$D26="8 dd",$D26="12 dd",$D26="an",$D26="1 X"),VLOOKUP($D26,PedTblTijden!$A$16:$X$26,PedTblTijden!M$14,FALSE),"")</f>
        <v/>
      </c>
      <c r="T26" s="106" t="str">
        <f>IF(OR($D26="1 dd",$D26="2 dd",$D26="3 dd",$D26="4 dd",$D26="6 dd",$D26="8 dd",$D26="12 dd",$D26="an",$D26="1 X"),VLOOKUP($D26,PedTblTijden!$A$16:$X$26,PedTblTijden!N$14,FALSE),"")</f>
        <v/>
      </c>
      <c r="U26" s="15" t="str">
        <f>IF(OR($D26="1 dd",$D26="2 dd",$D26="3 dd",$D26="4 dd",$D26="6 dd",$D26="8 dd",$D26="12 dd",$D26="an",$D26="1 X"),VLOOKUP($D26,PedTblTijden!$A$16:$X$26,PedTblTijden!O$14,FALSE),"")</f>
        <v/>
      </c>
      <c r="V26" s="106" t="str">
        <f>IF(OR($D26="1 dd",$D26="2 dd",$D26="3 dd",$D26="4 dd",$D26="6 dd",$D26="8 dd",$D26="12 dd",$D26="an",$D26="1 X"),VLOOKUP($D26,PedTblTijden!$A$16:$X$26,PedTblTijden!P$14,FALSE),"")</f>
        <v/>
      </c>
      <c r="W26" s="15" t="str">
        <f>IF(OR($D26="1 dd",$D26="2 dd",$D26="3 dd",$D26="4 dd",$D26="6 dd",$D26="8 dd",$D26="12 dd",$D26="an",$D26="1 X"),VLOOKUP($D26,PedTblTijden!$A$16:$X$26,PedTblTijden!Q$14,FALSE),"")</f>
        <v/>
      </c>
      <c r="X26" s="106" t="str">
        <f>IF(OR($D26="1 dd",$D26="2 dd",$D26="3 dd",$D26="4 dd",$D26="6 dd",$D26="8 dd",$D26="12 dd",$D26="an",$D26="1 X"),VLOOKUP($D26,PedTblTijden!$A$16:$X$26,PedTblTijden!R$14,FALSE),"")</f>
        <v/>
      </c>
      <c r="Y26" s="15" t="str">
        <f>IF(OR($D26="1 dd",$D26="2 dd",$D26="3 dd",$D26="4 dd",$D26="6 dd",$D26="8 dd",$D26="12 dd",$D26="an",$D26="1 X"),VLOOKUP($D26,PedTblTijden!$A$16:$X$26,PedTblTijden!S$14,FALSE),"")</f>
        <v/>
      </c>
      <c r="Z26" s="106" t="str">
        <f>IF(OR($D26="1 dd",$D26="2 dd",$D26="3 dd",$D26="4 dd",$D26="6 dd",$D26="8 dd",$D26="12 dd",$D26="an",$D26="1 X"),VLOOKUP($D26,PedTblTijden!$A$16:$X$26,PedTblTijden!T$14,FALSE),"")</f>
        <v/>
      </c>
      <c r="AA26" s="15" t="str">
        <f>IF(OR($D26="1 dd",$D26="2 dd",$D26="3 dd",$D26="4 dd",$D26="6 dd",$D26="8 dd",$D26="12 dd",$D26="an",$D26="1 X"),VLOOKUP($D26,PedTblTijden!$A$16:$X$26,PedTblTijden!U$14,FALSE),"")</f>
        <v/>
      </c>
      <c r="AB26" s="106" t="str">
        <f>IF(OR($D26="1 dd",$D26="2 dd",$D26="3 dd",$D26="4 dd",$D26="6 dd",$D26="8 dd",$D26="12 dd",$D26="an",$D26="1 X"),VLOOKUP($D26,PedTblTijden!$A$16:$X$26,PedTblTijden!V$14,FALSE),"")</f>
        <v/>
      </c>
      <c r="AC26" s="15" t="str">
        <f>IF(OR($D26="1 dd",$D26="2 dd",$D26="3 dd",$D26="4 dd",$D26="6 dd",$D26="8 dd",$D26="12 dd",$D26="an",$D26="1 X"),VLOOKUP($D26,PedTblTijden!$A$16:$X$26,PedTblTijden!W$14,FALSE),"")</f>
        <v/>
      </c>
      <c r="AD26" s="106" t="str">
        <f>IF(OR($D26="1 dd",$D26="2 dd",$D26="3 dd",$D26="4 dd",$D26="6 dd",$D26="8 dd",$D26="12 dd",$D26="an",$D26="1 X"),VLOOKUP($D26,PedTblTijden!$A$16:$X$26,PedTblTijden!X$14,FALSE),"")</f>
        <v/>
      </c>
      <c r="AE26" s="17"/>
      <c r="AF26" s="105"/>
      <c r="AG26" s="17"/>
    </row>
    <row r="27" spans="2:33" s="517" customFormat="1" ht="26.1" customHeight="1" x14ac:dyDescent="0.35">
      <c r="B27" s="107"/>
      <c r="C27" s="231" t="str">
        <f>IF(PedBerMedDisc!C26&lt;&gt;"",IF(PedBerMedDisc!C26&gt;1,TRIM(PedBerMedDisc!C26)&amp;", "&amp;GlobBerOpm!C30&amp;" ("&amp;PedBerMedDisc!M26&amp;" "&amp;PedBerMedDisc!F26&amp;"/kg/dag)",TRIM(PedBerMedDisc!C26)&amp;", "&amp;GlobBerOpm!C30),"")</f>
        <v/>
      </c>
      <c r="D27" s="232" t="str">
        <f>IF(PedGuiMedDisc!H54&lt;&gt;"",PedGuiMedDisc!H54,"")</f>
        <v/>
      </c>
      <c r="E27" s="233" t="str">
        <f>IF(AND(D27&lt;&gt;"",D27&lt;&gt;"STOP"),PedBerMedDisc!H26&amp;" "&amp;PedBerMedDisc!F26,"")</f>
        <v/>
      </c>
      <c r="F27" s="233" t="str">
        <f>IF(AND(D27&lt;&gt;"",D27&lt;&gt;"STOP"),PedBerMedDisc!L26," ")</f>
        <v xml:space="preserve"> </v>
      </c>
      <c r="G27" s="233" t="str">
        <f>IF(PedGuiMedDisc!L49&lt;&gt;"",PedGuiMedDisc!L49&amp;" "&amp;PedGuiMedDisc!M49&amp;" "&amp;INDEX(PedBerMedDisc!$B$27:$B$30,PedBerMedDisc!O26,1)&amp;" in "&amp;PedGuiMedDisc!$O$44,"")</f>
        <v/>
      </c>
      <c r="H27" s="106" t="str">
        <f>IF(OR($D27="1 dd",$D27="2 dd",$D27="3 dd",$D27="4 dd",$D27="6 dd",$D27="8 dd",$D27="12 dd",$D27="an",$D27="1 X"),VLOOKUP($D27,PedTblTijden!$A$16:$X$26,PedTblTijden!B$14,FALSE),"")</f>
        <v/>
      </c>
      <c r="I27" s="15" t="str">
        <f>IF(OR($D27="1 dd",$D27="2 dd",$D27="3 dd",$D27="4 dd",$D27="6 dd",$D27="8 dd",$D27="12 dd",$D27="an",$D27="1 X"),VLOOKUP($D27,PedTblTijden!$A$16:$X$26,PedTblTijden!C$14,FALSE),"")</f>
        <v/>
      </c>
      <c r="J27" s="106" t="str">
        <f>IF(OR($D27="1 dd",$D27="2 dd",$D27="3 dd",$D27="4 dd",$D27="6 dd",$D27="8 dd",$D27="12 dd",$D27="an",$D27="1 X"),VLOOKUP($D27,PedTblTijden!$A$16:$X$26,PedTblTijden!D$14,FALSE),"")</f>
        <v/>
      </c>
      <c r="K27" s="15" t="str">
        <f>IF(OR($D27="1 dd",$D27="2 dd",$D27="3 dd",$D27="4 dd",$D27="6 dd",$D27="8 dd",$D27="12 dd",$D27="an",$D27="1 X"),VLOOKUP($D27,PedTblTijden!$A$16:$X$26,PedTblTijden!E$14,FALSE),"")</f>
        <v/>
      </c>
      <c r="L27" s="106" t="str">
        <f>IF(OR($D27="1 dd",$D27="2 dd",$D27="3 dd",$D27="4 dd",$D27="6 dd",$D27="8 dd",$D27="12 dd",$D27="an",$D27="1 X"),VLOOKUP($D27,PedTblTijden!$A$16:$X$26,PedTblTijden!F$14,FALSE),"")</f>
        <v/>
      </c>
      <c r="M27" s="15" t="str">
        <f>IF(OR($D27="1 dd",$D27="2 dd",$D27="3 dd",$D27="4 dd",$D27="6 dd",$D27="8 dd",$D27="12 dd",$D27="an",$D27="1 X"),VLOOKUP($D27,PedTblTijden!$A$16:$X$26,PedTblTijden!G$14,FALSE),"")</f>
        <v/>
      </c>
      <c r="N27" s="106" t="str">
        <f>IF(OR($D27="1 dd",$D27="2 dd",$D27="3 dd",$D27="4 dd",$D27="6 dd",$D27="8 dd",$D27="12 dd",$D27="an",$D27="1 X"),VLOOKUP($D27,PedTblTijden!$A$16:$X$26,PedTblTijden!H$14,FALSE),"")</f>
        <v/>
      </c>
      <c r="O27" s="15" t="str">
        <f>IF(OR($D27="1 dd",$D27="2 dd",$D27="3 dd",$D27="4 dd",$D27="6 dd",$D27="8 dd",$D27="12 dd",$D27="an",$D27="1 X"),VLOOKUP($D27,PedTblTijden!$A$16:$X$26,PedTblTijden!I$14,FALSE),"")</f>
        <v/>
      </c>
      <c r="P27" s="106" t="str">
        <f>IF(OR($D27="1 dd",$D27="2 dd",$D27="3 dd",$D27="4 dd",$D27="6 dd",$D27="8 dd",$D27="12 dd",$D27="an",$D27="1 X"),VLOOKUP($D27,PedTblTijden!$A$16:$X$26,PedTblTijden!J$14,FALSE),"")</f>
        <v/>
      </c>
      <c r="Q27" s="15" t="str">
        <f>IF(OR($D27="1 dd",$D27="2 dd",$D27="3 dd",$D27="4 dd",$D27="6 dd",$D27="8 dd",$D27="12 dd",$D27="an",$D27="1 X"),VLOOKUP($D27,PedTblTijden!$A$16:$X$26,PedTblTijden!K$14,FALSE),"")</f>
        <v/>
      </c>
      <c r="R27" s="106" t="str">
        <f>IF(OR($D27="1 dd",$D27="2 dd",$D27="3 dd",$D27="4 dd",$D27="6 dd",$D27="8 dd",$D27="12 dd",$D27="an",$D27="1 X"),VLOOKUP($D27,PedTblTijden!$A$16:$X$26,PedTblTijden!L$14,FALSE),"")</f>
        <v/>
      </c>
      <c r="S27" s="15" t="str">
        <f>IF(OR($D27="1 dd",$D27="2 dd",$D27="3 dd",$D27="4 dd",$D27="6 dd",$D27="8 dd",$D27="12 dd",$D27="an",$D27="1 X"),VLOOKUP($D27,PedTblTijden!$A$16:$X$26,PedTblTijden!M$14,FALSE),"")</f>
        <v/>
      </c>
      <c r="T27" s="106" t="str">
        <f>IF(OR($D27="1 dd",$D27="2 dd",$D27="3 dd",$D27="4 dd",$D27="6 dd",$D27="8 dd",$D27="12 dd",$D27="an",$D27="1 X"),VLOOKUP($D27,PedTblTijden!$A$16:$X$26,PedTblTijden!N$14,FALSE),"")</f>
        <v/>
      </c>
      <c r="U27" s="15" t="str">
        <f>IF(OR($D27="1 dd",$D27="2 dd",$D27="3 dd",$D27="4 dd",$D27="6 dd",$D27="8 dd",$D27="12 dd",$D27="an",$D27="1 X"),VLOOKUP($D27,PedTblTijden!$A$16:$X$26,PedTblTijden!O$14,FALSE),"")</f>
        <v/>
      </c>
      <c r="V27" s="106" t="str">
        <f>IF(OR($D27="1 dd",$D27="2 dd",$D27="3 dd",$D27="4 dd",$D27="6 dd",$D27="8 dd",$D27="12 dd",$D27="an",$D27="1 X"),VLOOKUP($D27,PedTblTijden!$A$16:$X$26,PedTblTijden!P$14,FALSE),"")</f>
        <v/>
      </c>
      <c r="W27" s="15" t="str">
        <f>IF(OR($D27="1 dd",$D27="2 dd",$D27="3 dd",$D27="4 dd",$D27="6 dd",$D27="8 dd",$D27="12 dd",$D27="an",$D27="1 X"),VLOOKUP($D27,PedTblTijden!$A$16:$X$26,PedTblTijden!Q$14,FALSE),"")</f>
        <v/>
      </c>
      <c r="X27" s="106" t="str">
        <f>IF(OR($D27="1 dd",$D27="2 dd",$D27="3 dd",$D27="4 dd",$D27="6 dd",$D27="8 dd",$D27="12 dd",$D27="an",$D27="1 X"),VLOOKUP($D27,PedTblTijden!$A$16:$X$26,PedTblTijden!R$14,FALSE),"")</f>
        <v/>
      </c>
      <c r="Y27" s="15" t="str">
        <f>IF(OR($D27="1 dd",$D27="2 dd",$D27="3 dd",$D27="4 dd",$D27="6 dd",$D27="8 dd",$D27="12 dd",$D27="an",$D27="1 X"),VLOOKUP($D27,PedTblTijden!$A$16:$X$26,PedTblTijden!S$14,FALSE),"")</f>
        <v/>
      </c>
      <c r="Z27" s="106" t="str">
        <f>IF(OR($D27="1 dd",$D27="2 dd",$D27="3 dd",$D27="4 dd",$D27="6 dd",$D27="8 dd",$D27="12 dd",$D27="an",$D27="1 X"),VLOOKUP($D27,PedTblTijden!$A$16:$X$26,PedTblTijden!T$14,FALSE),"")</f>
        <v/>
      </c>
      <c r="AA27" s="15" t="str">
        <f>IF(OR($D27="1 dd",$D27="2 dd",$D27="3 dd",$D27="4 dd",$D27="6 dd",$D27="8 dd",$D27="12 dd",$D27="an",$D27="1 X"),VLOOKUP($D27,PedTblTijden!$A$16:$X$26,PedTblTijden!U$14,FALSE),"")</f>
        <v/>
      </c>
      <c r="AB27" s="106" t="str">
        <f>IF(OR($D27="1 dd",$D27="2 dd",$D27="3 dd",$D27="4 dd",$D27="6 dd",$D27="8 dd",$D27="12 dd",$D27="an",$D27="1 X"),VLOOKUP($D27,PedTblTijden!$A$16:$X$26,PedTblTijden!V$14,FALSE),"")</f>
        <v/>
      </c>
      <c r="AC27" s="15" t="str">
        <f>IF(OR($D27="1 dd",$D27="2 dd",$D27="3 dd",$D27="4 dd",$D27="6 dd",$D27="8 dd",$D27="12 dd",$D27="an",$D27="1 X"),VLOOKUP($D27,PedTblTijden!$A$16:$X$26,PedTblTijden!W$14,FALSE),"")</f>
        <v/>
      </c>
      <c r="AD27" s="106" t="str">
        <f>IF(OR($D27="1 dd",$D27="2 dd",$D27="3 dd",$D27="4 dd",$D27="6 dd",$D27="8 dd",$D27="12 dd",$D27="an",$D27="1 X"),VLOOKUP($D27,PedTblTijden!$A$16:$X$26,PedTblTijden!X$14,FALSE),"")</f>
        <v/>
      </c>
      <c r="AE27" s="17"/>
      <c r="AF27" s="105"/>
      <c r="AG27" s="17"/>
    </row>
    <row r="28" spans="2:33" s="517" customFormat="1" ht="26.1" customHeight="1" x14ac:dyDescent="0.35">
      <c r="B28" s="107"/>
      <c r="C28" s="231" t="str">
        <f>IF(PedBerMedDisc!C27&lt;&gt;"",IF(PedBerMedDisc!C27&gt;1,TRIM(PedBerMedDisc!C27)&amp;", "&amp;GlobBerOpm!C31&amp;" ("&amp;PedBerMedDisc!M27&amp;" "&amp;PedBerMedDisc!F27&amp;"/kg/dag)",TRIM(PedBerMedDisc!C27)&amp;", "&amp;GlobBerOpm!C31),"")</f>
        <v/>
      </c>
      <c r="D28" s="232" t="str">
        <f>IF(PedGuiMedDisc!H56&lt;&gt;"",PedGuiMedDisc!H56,"")</f>
        <v/>
      </c>
      <c r="E28" s="233" t="str">
        <f>IF(AND(D28&lt;&gt;"",D28&lt;&gt;"STOP"),PedBerMedDisc!H27&amp;" "&amp;PedBerMedDisc!F27,"")</f>
        <v/>
      </c>
      <c r="F28" s="233" t="str">
        <f>IF(AND(D28&lt;&gt;"",D28&lt;&gt;"STOP"),PedBerMedDisc!L27," ")</f>
        <v xml:space="preserve"> </v>
      </c>
      <c r="G28" s="233" t="str">
        <f>IF(PedGuiMedDisc!L50&lt;&gt;"",PedGuiMedDisc!L50&amp;" "&amp;PedGuiMedDisc!M50&amp;" "&amp;INDEX(PedBerMedDisc!$B$27:$B$30,PedBerMedDisc!O27,1)&amp;" in "&amp;PedGuiMedDisc!$O$44,"")</f>
        <v/>
      </c>
      <c r="H28" s="106" t="str">
        <f>IF(OR($D28="1 dd",$D28="2 dd",$D28="3 dd",$D28="4 dd",$D28="6 dd",$D28="8 dd",$D28="12 dd",$D28="an",$D28="1 X"),VLOOKUP($D28,PedTblTijden!$A$16:$X$26,PedTblTijden!B$14,FALSE),"")</f>
        <v/>
      </c>
      <c r="I28" s="15" t="str">
        <f>IF(OR($D28="1 dd",$D28="2 dd",$D28="3 dd",$D28="4 dd",$D28="6 dd",$D28="8 dd",$D28="12 dd",$D28="an",$D28="1 X"),VLOOKUP($D28,PedTblTijden!$A$16:$X$26,PedTblTijden!C$14,FALSE),"")</f>
        <v/>
      </c>
      <c r="J28" s="106" t="str">
        <f>IF(OR($D28="1 dd",$D28="2 dd",$D28="3 dd",$D28="4 dd",$D28="6 dd",$D28="8 dd",$D28="12 dd",$D28="an",$D28="1 X"),VLOOKUP($D28,PedTblTijden!$A$16:$X$26,PedTblTijden!D$14,FALSE),"")</f>
        <v/>
      </c>
      <c r="K28" s="15" t="str">
        <f>IF(OR($D28="1 dd",$D28="2 dd",$D28="3 dd",$D28="4 dd",$D28="6 dd",$D28="8 dd",$D28="12 dd",$D28="an",$D28="1 X"),VLOOKUP($D28,PedTblTijden!$A$16:$X$26,PedTblTijden!E$14,FALSE),"")</f>
        <v/>
      </c>
      <c r="L28" s="106" t="str">
        <f>IF(OR($D28="1 dd",$D28="2 dd",$D28="3 dd",$D28="4 dd",$D28="6 dd",$D28="8 dd",$D28="12 dd",$D28="an",$D28="1 X"),VLOOKUP($D28,PedTblTijden!$A$16:$X$26,PedTblTijden!F$14,FALSE),"")</f>
        <v/>
      </c>
      <c r="M28" s="15" t="str">
        <f>IF(OR($D28="1 dd",$D28="2 dd",$D28="3 dd",$D28="4 dd",$D28="6 dd",$D28="8 dd",$D28="12 dd",$D28="an",$D28="1 X"),VLOOKUP($D28,PedTblTijden!$A$16:$X$26,PedTblTijden!G$14,FALSE),"")</f>
        <v/>
      </c>
      <c r="N28" s="106" t="str">
        <f>IF(OR($D28="1 dd",$D28="2 dd",$D28="3 dd",$D28="4 dd",$D28="6 dd",$D28="8 dd",$D28="12 dd",$D28="an",$D28="1 X"),VLOOKUP($D28,PedTblTijden!$A$16:$X$26,PedTblTijden!H$14,FALSE),"")</f>
        <v/>
      </c>
      <c r="O28" s="15" t="str">
        <f>IF(OR($D28="1 dd",$D28="2 dd",$D28="3 dd",$D28="4 dd",$D28="6 dd",$D28="8 dd",$D28="12 dd",$D28="an",$D28="1 X"),VLOOKUP($D28,PedTblTijden!$A$16:$X$26,PedTblTijden!I$14,FALSE),"")</f>
        <v/>
      </c>
      <c r="P28" s="106" t="str">
        <f>IF(OR($D28="1 dd",$D28="2 dd",$D28="3 dd",$D28="4 dd",$D28="6 dd",$D28="8 dd",$D28="12 dd",$D28="an",$D28="1 X"),VLOOKUP($D28,PedTblTijden!$A$16:$X$26,PedTblTijden!J$14,FALSE),"")</f>
        <v/>
      </c>
      <c r="Q28" s="15" t="str">
        <f>IF(OR($D28="1 dd",$D28="2 dd",$D28="3 dd",$D28="4 dd",$D28="6 dd",$D28="8 dd",$D28="12 dd",$D28="an",$D28="1 X"),VLOOKUP($D28,PedTblTijden!$A$16:$X$26,PedTblTijden!K$14,FALSE),"")</f>
        <v/>
      </c>
      <c r="R28" s="106" t="str">
        <f>IF(OR($D28="1 dd",$D28="2 dd",$D28="3 dd",$D28="4 dd",$D28="6 dd",$D28="8 dd",$D28="12 dd",$D28="an",$D28="1 X"),VLOOKUP($D28,PedTblTijden!$A$16:$X$26,PedTblTijden!L$14,FALSE),"")</f>
        <v/>
      </c>
      <c r="S28" s="15" t="str">
        <f>IF(OR($D28="1 dd",$D28="2 dd",$D28="3 dd",$D28="4 dd",$D28="6 dd",$D28="8 dd",$D28="12 dd",$D28="an",$D28="1 X"),VLOOKUP($D28,PedTblTijden!$A$16:$X$26,PedTblTijden!M$14,FALSE),"")</f>
        <v/>
      </c>
      <c r="T28" s="106" t="str">
        <f>IF(OR($D28="1 dd",$D28="2 dd",$D28="3 dd",$D28="4 dd",$D28="6 dd",$D28="8 dd",$D28="12 dd",$D28="an",$D28="1 X"),VLOOKUP($D28,PedTblTijden!$A$16:$X$26,PedTblTijden!N$14,FALSE),"")</f>
        <v/>
      </c>
      <c r="U28" s="15" t="str">
        <f>IF(OR($D28="1 dd",$D28="2 dd",$D28="3 dd",$D28="4 dd",$D28="6 dd",$D28="8 dd",$D28="12 dd",$D28="an",$D28="1 X"),VLOOKUP($D28,PedTblTijden!$A$16:$X$26,PedTblTijden!O$14,FALSE),"")</f>
        <v/>
      </c>
      <c r="V28" s="106" t="str">
        <f>IF(OR($D28="1 dd",$D28="2 dd",$D28="3 dd",$D28="4 dd",$D28="6 dd",$D28="8 dd",$D28="12 dd",$D28="an",$D28="1 X"),VLOOKUP($D28,PedTblTijden!$A$16:$X$26,PedTblTijden!P$14,FALSE),"")</f>
        <v/>
      </c>
      <c r="W28" s="15" t="str">
        <f>IF(OR($D28="1 dd",$D28="2 dd",$D28="3 dd",$D28="4 dd",$D28="6 dd",$D28="8 dd",$D28="12 dd",$D28="an",$D28="1 X"),VLOOKUP($D28,PedTblTijden!$A$16:$X$26,PedTblTijden!Q$14,FALSE),"")</f>
        <v/>
      </c>
      <c r="X28" s="106" t="str">
        <f>IF(OR($D28="1 dd",$D28="2 dd",$D28="3 dd",$D28="4 dd",$D28="6 dd",$D28="8 dd",$D28="12 dd",$D28="an",$D28="1 X"),VLOOKUP($D28,PedTblTijden!$A$16:$X$26,PedTblTijden!R$14,FALSE),"")</f>
        <v/>
      </c>
      <c r="Y28" s="15" t="str">
        <f>IF(OR($D28="1 dd",$D28="2 dd",$D28="3 dd",$D28="4 dd",$D28="6 dd",$D28="8 dd",$D28="12 dd",$D28="an",$D28="1 X"),VLOOKUP($D28,PedTblTijden!$A$16:$X$26,PedTblTijden!S$14,FALSE),"")</f>
        <v/>
      </c>
      <c r="Z28" s="106" t="str">
        <f>IF(OR($D28="1 dd",$D28="2 dd",$D28="3 dd",$D28="4 dd",$D28="6 dd",$D28="8 dd",$D28="12 dd",$D28="an",$D28="1 X"),VLOOKUP($D28,PedTblTijden!$A$16:$X$26,PedTblTijden!T$14,FALSE),"")</f>
        <v/>
      </c>
      <c r="AA28" s="15" t="str">
        <f>IF(OR($D28="1 dd",$D28="2 dd",$D28="3 dd",$D28="4 dd",$D28="6 dd",$D28="8 dd",$D28="12 dd",$D28="an",$D28="1 X"),VLOOKUP($D28,PedTblTijden!$A$16:$X$26,PedTblTijden!U$14,FALSE),"")</f>
        <v/>
      </c>
      <c r="AB28" s="106" t="str">
        <f>IF(OR($D28="1 dd",$D28="2 dd",$D28="3 dd",$D28="4 dd",$D28="6 dd",$D28="8 dd",$D28="12 dd",$D28="an",$D28="1 X"),VLOOKUP($D28,PedTblTijden!$A$16:$X$26,PedTblTijden!V$14,FALSE),"")</f>
        <v/>
      </c>
      <c r="AC28" s="15" t="str">
        <f>IF(OR($D28="1 dd",$D28="2 dd",$D28="3 dd",$D28="4 dd",$D28="6 dd",$D28="8 dd",$D28="12 dd",$D28="an",$D28="1 X"),VLOOKUP($D28,PedTblTijden!$A$16:$X$26,PedTblTijden!W$14,FALSE),"")</f>
        <v/>
      </c>
      <c r="AD28" s="106" t="str">
        <f>IF(OR($D28="1 dd",$D28="2 dd",$D28="3 dd",$D28="4 dd",$D28="6 dd",$D28="8 dd",$D28="12 dd",$D28="an",$D28="1 X"),VLOOKUP($D28,PedTblTijden!$A$16:$X$26,PedTblTijden!X$14,FALSE),"")</f>
        <v/>
      </c>
      <c r="AE28" s="17"/>
      <c r="AF28" s="105"/>
      <c r="AG28" s="17"/>
    </row>
    <row r="29" spans="2:33" s="517" customFormat="1" ht="26.1" customHeight="1" x14ac:dyDescent="0.35">
      <c r="B29" s="107"/>
      <c r="C29" s="231" t="str">
        <f>IF(PedBerMedDisc!C28&lt;&gt;"",IF(PedBerMedDisc!C28&gt;1,TRIM(PedBerMedDisc!C28)&amp;", "&amp;GlobBerOpm!C32&amp;" ("&amp;PedBerMedDisc!M28&amp;" "&amp;PedBerMedDisc!F28&amp;"/kg/dag)",TRIM(PedBerMedDisc!C28)&amp;", "&amp;GlobBerOpm!C32),"")</f>
        <v/>
      </c>
      <c r="D29" s="232" t="str">
        <f>IF(PedGuiMedDisc!H58&lt;&gt;"",PedGuiMedDisc!H58,"")</f>
        <v/>
      </c>
      <c r="E29" s="233" t="str">
        <f>IF(AND(D29&lt;&gt;"",D29&lt;&gt;"STOP"),PedBerMedDisc!H28&amp;" "&amp;PedBerMedDisc!F28,"")</f>
        <v/>
      </c>
      <c r="F29" s="233" t="str">
        <f>IF(AND(D29&lt;&gt;"",D29&lt;&gt;"STOP"),PedBerMedDisc!L28," ")</f>
        <v xml:space="preserve"> </v>
      </c>
      <c r="G29" s="233" t="str">
        <f>IF(PedGuiMedDisc!L51&lt;&gt;"",PedGuiMedDisc!L51&amp;" "&amp;PedGuiMedDisc!M51&amp;" "&amp;INDEX(PedBerMedDisc!$B$27:$B$30,PedBerMedDisc!O28,1)&amp;" in "&amp;PedGuiMedDisc!$O$44,"")</f>
        <v/>
      </c>
      <c r="H29" s="106" t="str">
        <f>IF(OR($D29="1 dd",$D29="2 dd",$D29="3 dd",$D29="4 dd",$D29="6 dd",$D29="8 dd",$D29="12 dd",$D29="an",$D29="1 X"),VLOOKUP($D29,PedTblTijden!$A$16:$X$26,PedTblTijden!B$14,FALSE),"")</f>
        <v/>
      </c>
      <c r="I29" s="15" t="str">
        <f>IF(OR($D29="1 dd",$D29="2 dd",$D29="3 dd",$D29="4 dd",$D29="6 dd",$D29="8 dd",$D29="12 dd",$D29="an",$D29="1 X"),VLOOKUP($D29,PedTblTijden!$A$16:$X$26,PedTblTijden!C$14,FALSE),"")</f>
        <v/>
      </c>
      <c r="J29" s="106" t="str">
        <f>IF(OR($D29="1 dd",$D29="2 dd",$D29="3 dd",$D29="4 dd",$D29="6 dd",$D29="8 dd",$D29="12 dd",$D29="an",$D29="1 X"),VLOOKUP($D29,PedTblTijden!$A$16:$X$26,PedTblTijden!D$14,FALSE),"")</f>
        <v/>
      </c>
      <c r="K29" s="15" t="str">
        <f>IF(OR($D29="1 dd",$D29="2 dd",$D29="3 dd",$D29="4 dd",$D29="6 dd",$D29="8 dd",$D29="12 dd",$D29="an",$D29="1 X"),VLOOKUP($D29,PedTblTijden!$A$16:$X$26,PedTblTijden!E$14,FALSE),"")</f>
        <v/>
      </c>
      <c r="L29" s="106" t="str">
        <f>IF(OR($D29="1 dd",$D29="2 dd",$D29="3 dd",$D29="4 dd",$D29="6 dd",$D29="8 dd",$D29="12 dd",$D29="an",$D29="1 X"),VLOOKUP($D29,PedTblTijden!$A$16:$X$26,PedTblTijden!F$14,FALSE),"")</f>
        <v/>
      </c>
      <c r="M29" s="15" t="str">
        <f>IF(OR($D29="1 dd",$D29="2 dd",$D29="3 dd",$D29="4 dd",$D29="6 dd",$D29="8 dd",$D29="12 dd",$D29="an",$D29="1 X"),VLOOKUP($D29,PedTblTijden!$A$16:$X$26,PedTblTijden!G$14,FALSE),"")</f>
        <v/>
      </c>
      <c r="N29" s="106" t="str">
        <f>IF(OR($D29="1 dd",$D29="2 dd",$D29="3 dd",$D29="4 dd",$D29="6 dd",$D29="8 dd",$D29="12 dd",$D29="an",$D29="1 X"),VLOOKUP($D29,PedTblTijden!$A$16:$X$26,PedTblTijden!H$14,FALSE),"")</f>
        <v/>
      </c>
      <c r="O29" s="15" t="str">
        <f>IF(OR($D29="1 dd",$D29="2 dd",$D29="3 dd",$D29="4 dd",$D29="6 dd",$D29="8 dd",$D29="12 dd",$D29="an",$D29="1 X"),VLOOKUP($D29,PedTblTijden!$A$16:$X$26,PedTblTijden!I$14,FALSE),"")</f>
        <v/>
      </c>
      <c r="P29" s="106" t="str">
        <f>IF(OR($D29="1 dd",$D29="2 dd",$D29="3 dd",$D29="4 dd",$D29="6 dd",$D29="8 dd",$D29="12 dd",$D29="an",$D29="1 X"),VLOOKUP($D29,PedTblTijden!$A$16:$X$26,PedTblTijden!J$14,FALSE),"")</f>
        <v/>
      </c>
      <c r="Q29" s="15" t="str">
        <f>IF(OR($D29="1 dd",$D29="2 dd",$D29="3 dd",$D29="4 dd",$D29="6 dd",$D29="8 dd",$D29="12 dd",$D29="an",$D29="1 X"),VLOOKUP($D29,PedTblTijden!$A$16:$X$26,PedTblTijden!K$14,FALSE),"")</f>
        <v/>
      </c>
      <c r="R29" s="106" t="str">
        <f>IF(OR($D29="1 dd",$D29="2 dd",$D29="3 dd",$D29="4 dd",$D29="6 dd",$D29="8 dd",$D29="12 dd",$D29="an",$D29="1 X"),VLOOKUP($D29,PedTblTijden!$A$16:$X$26,PedTblTijden!L$14,FALSE),"")</f>
        <v/>
      </c>
      <c r="S29" s="15" t="str">
        <f>IF(OR($D29="1 dd",$D29="2 dd",$D29="3 dd",$D29="4 dd",$D29="6 dd",$D29="8 dd",$D29="12 dd",$D29="an",$D29="1 X"),VLOOKUP($D29,PedTblTijden!$A$16:$X$26,PedTblTijden!M$14,FALSE),"")</f>
        <v/>
      </c>
      <c r="T29" s="106" t="str">
        <f>IF(OR($D29="1 dd",$D29="2 dd",$D29="3 dd",$D29="4 dd",$D29="6 dd",$D29="8 dd",$D29="12 dd",$D29="an",$D29="1 X"),VLOOKUP($D29,PedTblTijden!$A$16:$X$26,PedTblTijden!N$14,FALSE),"")</f>
        <v/>
      </c>
      <c r="U29" s="15" t="str">
        <f>IF(OR($D29="1 dd",$D29="2 dd",$D29="3 dd",$D29="4 dd",$D29="6 dd",$D29="8 dd",$D29="12 dd",$D29="an",$D29="1 X"),VLOOKUP($D29,PedTblTijden!$A$16:$X$26,PedTblTijden!O$14,FALSE),"")</f>
        <v/>
      </c>
      <c r="V29" s="106" t="str">
        <f>IF(OR($D29="1 dd",$D29="2 dd",$D29="3 dd",$D29="4 dd",$D29="6 dd",$D29="8 dd",$D29="12 dd",$D29="an",$D29="1 X"),VLOOKUP($D29,PedTblTijden!$A$16:$X$26,PedTblTijden!P$14,FALSE),"")</f>
        <v/>
      </c>
      <c r="W29" s="15" t="str">
        <f>IF(OR($D29="1 dd",$D29="2 dd",$D29="3 dd",$D29="4 dd",$D29="6 dd",$D29="8 dd",$D29="12 dd",$D29="an",$D29="1 X"),VLOOKUP($D29,PedTblTijden!$A$16:$X$26,PedTblTijden!Q$14,FALSE),"")</f>
        <v/>
      </c>
      <c r="X29" s="106" t="str">
        <f>IF(OR($D29="1 dd",$D29="2 dd",$D29="3 dd",$D29="4 dd",$D29="6 dd",$D29="8 dd",$D29="12 dd",$D29="an",$D29="1 X"),VLOOKUP($D29,PedTblTijden!$A$16:$X$26,PedTblTijden!R$14,FALSE),"")</f>
        <v/>
      </c>
      <c r="Y29" s="15" t="str">
        <f>IF(OR($D29="1 dd",$D29="2 dd",$D29="3 dd",$D29="4 dd",$D29="6 dd",$D29="8 dd",$D29="12 dd",$D29="an",$D29="1 X"),VLOOKUP($D29,PedTblTijden!$A$16:$X$26,PedTblTijden!S$14,FALSE),"")</f>
        <v/>
      </c>
      <c r="Z29" s="106" t="str">
        <f>IF(OR($D29="1 dd",$D29="2 dd",$D29="3 dd",$D29="4 dd",$D29="6 dd",$D29="8 dd",$D29="12 dd",$D29="an",$D29="1 X"),VLOOKUP($D29,PedTblTijden!$A$16:$X$26,PedTblTijden!T$14,FALSE),"")</f>
        <v/>
      </c>
      <c r="AA29" s="15" t="str">
        <f>IF(OR($D29="1 dd",$D29="2 dd",$D29="3 dd",$D29="4 dd",$D29="6 dd",$D29="8 dd",$D29="12 dd",$D29="an",$D29="1 X"),VLOOKUP($D29,PedTblTijden!$A$16:$X$26,PedTblTijden!U$14,FALSE),"")</f>
        <v/>
      </c>
      <c r="AB29" s="106" t="str">
        <f>IF(OR($D29="1 dd",$D29="2 dd",$D29="3 dd",$D29="4 dd",$D29="6 dd",$D29="8 dd",$D29="12 dd",$D29="an",$D29="1 X"),VLOOKUP($D29,PedTblTijden!$A$16:$X$26,PedTblTijden!V$14,FALSE),"")</f>
        <v/>
      </c>
      <c r="AC29" s="15" t="str">
        <f>IF(OR($D29="1 dd",$D29="2 dd",$D29="3 dd",$D29="4 dd",$D29="6 dd",$D29="8 dd",$D29="12 dd",$D29="an",$D29="1 X"),VLOOKUP($D29,PedTblTijden!$A$16:$X$26,PedTblTijden!W$14,FALSE),"")</f>
        <v/>
      </c>
      <c r="AD29" s="106" t="str">
        <f>IF(OR($D29="1 dd",$D29="2 dd",$D29="3 dd",$D29="4 dd",$D29="6 dd",$D29="8 dd",$D29="12 dd",$D29="an",$D29="1 X"),VLOOKUP($D29,PedTblTijden!$A$16:$X$26,PedTblTijden!X$14,FALSE),"")</f>
        <v/>
      </c>
      <c r="AE29" s="17"/>
      <c r="AF29" s="105"/>
      <c r="AG29" s="17"/>
    </row>
    <row r="30" spans="2:33" s="517" customFormat="1" ht="26.1" customHeight="1" x14ac:dyDescent="0.35">
      <c r="B30" s="107"/>
      <c r="C30" s="231" t="str">
        <f>IF(PedBerMedDisc!C29&lt;&gt;"",IF(PedBerMedDisc!C29&gt;1,TRIM(PedBerMedDisc!C29)&amp;", "&amp;GlobBerOpm!C33&amp;" ("&amp;PedBerMedDisc!M29&amp;" "&amp;PedBerMedDisc!F29&amp;"/kg/dag)",TRIM(PedBerMedDisc!C29)&amp;", "&amp;GlobBerOpm!C33),"")</f>
        <v/>
      </c>
      <c r="D30" s="232" t="str">
        <f>IF(PedGuiMedDisc!H60&lt;&gt;"",PedGuiMedDisc!H60,"")</f>
        <v/>
      </c>
      <c r="E30" s="233" t="str">
        <f>IF(AND(D30&lt;&gt;"",D30&lt;&gt;"STOP"),PedBerMedDisc!H29&amp;" "&amp;PedBerMedDisc!F29,"")</f>
        <v/>
      </c>
      <c r="F30" s="233" t="str">
        <f>IF(AND(D30&lt;&gt;"",D30&lt;&gt;"STOP"),PedBerMedDisc!L29," ")</f>
        <v xml:space="preserve"> </v>
      </c>
      <c r="G30" s="233" t="str">
        <f>IF(PedGuiMedDisc!L52&lt;&gt;"",PedGuiMedDisc!L52&amp;" "&amp;PedGuiMedDisc!M52&amp;" "&amp;INDEX(PedBerMedDisc!$B$27:$B$30,PedBerMedDisc!O29,1)&amp;" in "&amp;PedGuiMedDisc!$O$44,"")</f>
        <v/>
      </c>
      <c r="H30" s="106" t="str">
        <f>IF(OR($D30="1 dd",$D30="2 dd",$D30="3 dd",$D30="4 dd",$D30="6 dd",$D30="8 dd",$D30="12 dd",$D30="an",$D30="1 X"),VLOOKUP($D30,PedTblTijden!$A$16:$X$26,PedTblTijden!B$14,FALSE),"")</f>
        <v/>
      </c>
      <c r="I30" s="15" t="str">
        <f>IF(OR($D30="1 dd",$D30="2 dd",$D30="3 dd",$D30="4 dd",$D30="6 dd",$D30="8 dd",$D30="12 dd",$D30="an",$D30="1 X"),VLOOKUP($D30,PedTblTijden!$A$16:$X$26,PedTblTijden!C$14,FALSE),"")</f>
        <v/>
      </c>
      <c r="J30" s="106" t="str">
        <f>IF(OR($D30="1 dd",$D30="2 dd",$D30="3 dd",$D30="4 dd",$D30="6 dd",$D30="8 dd",$D30="12 dd",$D30="an",$D30="1 X"),VLOOKUP($D30,PedTblTijden!$A$16:$X$26,PedTblTijden!D$14,FALSE),"")</f>
        <v/>
      </c>
      <c r="K30" s="15" t="str">
        <f>IF(OR($D30="1 dd",$D30="2 dd",$D30="3 dd",$D30="4 dd",$D30="6 dd",$D30="8 dd",$D30="12 dd",$D30="an",$D30="1 X"),VLOOKUP($D30,PedTblTijden!$A$16:$X$26,PedTblTijden!E$14,FALSE),"")</f>
        <v/>
      </c>
      <c r="L30" s="106" t="str">
        <f>IF(OR($D30="1 dd",$D30="2 dd",$D30="3 dd",$D30="4 dd",$D30="6 dd",$D30="8 dd",$D30="12 dd",$D30="an",$D30="1 X"),VLOOKUP($D30,PedTblTijden!$A$16:$X$26,PedTblTijden!F$14,FALSE),"")</f>
        <v/>
      </c>
      <c r="M30" s="15" t="str">
        <f>IF(OR($D30="1 dd",$D30="2 dd",$D30="3 dd",$D30="4 dd",$D30="6 dd",$D30="8 dd",$D30="12 dd",$D30="an",$D30="1 X"),VLOOKUP($D30,PedTblTijden!$A$16:$X$26,PedTblTijden!G$14,FALSE),"")</f>
        <v/>
      </c>
      <c r="N30" s="106" t="str">
        <f>IF(OR($D30="1 dd",$D30="2 dd",$D30="3 dd",$D30="4 dd",$D30="6 dd",$D30="8 dd",$D30="12 dd",$D30="an",$D30="1 X"),VLOOKUP($D30,PedTblTijden!$A$16:$X$26,PedTblTijden!H$14,FALSE),"")</f>
        <v/>
      </c>
      <c r="O30" s="15" t="str">
        <f>IF(OR($D30="1 dd",$D30="2 dd",$D30="3 dd",$D30="4 dd",$D30="6 dd",$D30="8 dd",$D30="12 dd",$D30="an",$D30="1 X"),VLOOKUP($D30,PedTblTijden!$A$16:$X$26,PedTblTijden!I$14,FALSE),"")</f>
        <v/>
      </c>
      <c r="P30" s="106" t="str">
        <f>IF(OR($D30="1 dd",$D30="2 dd",$D30="3 dd",$D30="4 dd",$D30="6 dd",$D30="8 dd",$D30="12 dd",$D30="an",$D30="1 X"),VLOOKUP($D30,PedTblTijden!$A$16:$X$26,PedTblTijden!J$14,FALSE),"")</f>
        <v/>
      </c>
      <c r="Q30" s="15" t="str">
        <f>IF(OR($D30="1 dd",$D30="2 dd",$D30="3 dd",$D30="4 dd",$D30="6 dd",$D30="8 dd",$D30="12 dd",$D30="an",$D30="1 X"),VLOOKUP($D30,PedTblTijden!$A$16:$X$26,PedTblTijden!K$14,FALSE),"")</f>
        <v/>
      </c>
      <c r="R30" s="106" t="str">
        <f>IF(OR($D30="1 dd",$D30="2 dd",$D30="3 dd",$D30="4 dd",$D30="6 dd",$D30="8 dd",$D30="12 dd",$D30="an",$D30="1 X"),VLOOKUP($D30,PedTblTijden!$A$16:$X$26,PedTblTijden!L$14,FALSE),"")</f>
        <v/>
      </c>
      <c r="S30" s="15" t="str">
        <f>IF(OR($D30="1 dd",$D30="2 dd",$D30="3 dd",$D30="4 dd",$D30="6 dd",$D30="8 dd",$D30="12 dd",$D30="an",$D30="1 X"),VLOOKUP($D30,PedTblTijden!$A$16:$X$26,PedTblTijden!M$14,FALSE),"")</f>
        <v/>
      </c>
      <c r="T30" s="106" t="str">
        <f>IF(OR($D30="1 dd",$D30="2 dd",$D30="3 dd",$D30="4 dd",$D30="6 dd",$D30="8 dd",$D30="12 dd",$D30="an",$D30="1 X"),VLOOKUP($D30,PedTblTijden!$A$16:$X$26,PedTblTijden!N$14,FALSE),"")</f>
        <v/>
      </c>
      <c r="U30" s="15" t="str">
        <f>IF(OR($D30="1 dd",$D30="2 dd",$D30="3 dd",$D30="4 dd",$D30="6 dd",$D30="8 dd",$D30="12 dd",$D30="an",$D30="1 X"),VLOOKUP($D30,PedTblTijden!$A$16:$X$26,PedTblTijden!O$14,FALSE),"")</f>
        <v/>
      </c>
      <c r="V30" s="106" t="str">
        <f>IF(OR($D30="1 dd",$D30="2 dd",$D30="3 dd",$D30="4 dd",$D30="6 dd",$D30="8 dd",$D30="12 dd",$D30="an",$D30="1 X"),VLOOKUP($D30,PedTblTijden!$A$16:$X$26,PedTblTijden!P$14,FALSE),"")</f>
        <v/>
      </c>
      <c r="W30" s="15" t="str">
        <f>IF(OR($D30="1 dd",$D30="2 dd",$D30="3 dd",$D30="4 dd",$D30="6 dd",$D30="8 dd",$D30="12 dd",$D30="an",$D30="1 X"),VLOOKUP($D30,PedTblTijden!$A$16:$X$26,PedTblTijden!Q$14,FALSE),"")</f>
        <v/>
      </c>
      <c r="X30" s="106" t="str">
        <f>IF(OR($D30="1 dd",$D30="2 dd",$D30="3 dd",$D30="4 dd",$D30="6 dd",$D30="8 dd",$D30="12 dd",$D30="an",$D30="1 X"),VLOOKUP($D30,PedTblTijden!$A$16:$X$26,PedTblTijden!R$14,FALSE),"")</f>
        <v/>
      </c>
      <c r="Y30" s="15" t="str">
        <f>IF(OR($D30="1 dd",$D30="2 dd",$D30="3 dd",$D30="4 dd",$D30="6 dd",$D30="8 dd",$D30="12 dd",$D30="an",$D30="1 X"),VLOOKUP($D30,PedTblTijden!$A$16:$X$26,PedTblTijden!S$14,FALSE),"")</f>
        <v/>
      </c>
      <c r="Z30" s="106" t="str">
        <f>IF(OR($D30="1 dd",$D30="2 dd",$D30="3 dd",$D30="4 dd",$D30="6 dd",$D30="8 dd",$D30="12 dd",$D30="an",$D30="1 X"),VLOOKUP($D30,PedTblTijden!$A$16:$X$26,PedTblTijden!T$14,FALSE),"")</f>
        <v/>
      </c>
      <c r="AA30" s="15" t="str">
        <f>IF(OR($D30="1 dd",$D30="2 dd",$D30="3 dd",$D30="4 dd",$D30="6 dd",$D30="8 dd",$D30="12 dd",$D30="an",$D30="1 X"),VLOOKUP($D30,PedTblTijden!$A$16:$X$26,PedTblTijden!U$14,FALSE),"")</f>
        <v/>
      </c>
      <c r="AB30" s="106" t="str">
        <f>IF(OR($D30="1 dd",$D30="2 dd",$D30="3 dd",$D30="4 dd",$D30="6 dd",$D30="8 dd",$D30="12 dd",$D30="an",$D30="1 X"),VLOOKUP($D30,PedTblTijden!$A$16:$X$26,PedTblTijden!V$14,FALSE),"")</f>
        <v/>
      </c>
      <c r="AC30" s="15" t="str">
        <f>IF(OR($D30="1 dd",$D30="2 dd",$D30="3 dd",$D30="4 dd",$D30="6 dd",$D30="8 dd",$D30="12 dd",$D30="an",$D30="1 X"),VLOOKUP($D30,PedTblTijden!$A$16:$X$26,PedTblTijden!W$14,FALSE),"")</f>
        <v/>
      </c>
      <c r="AD30" s="106" t="str">
        <f>IF(OR($D30="1 dd",$D30="2 dd",$D30="3 dd",$D30="4 dd",$D30="6 dd",$D30="8 dd",$D30="12 dd",$D30="an",$D30="1 X"),VLOOKUP($D30,PedTblTijden!$A$16:$X$26,PedTblTijden!X$14,FALSE),"")</f>
        <v/>
      </c>
      <c r="AE30" s="17"/>
      <c r="AF30" s="105"/>
      <c r="AG30" s="17"/>
    </row>
    <row r="31" spans="2:33" s="517" customFormat="1" ht="26.1" customHeight="1" x14ac:dyDescent="0.35">
      <c r="B31" s="107"/>
      <c r="C31" s="231" t="str">
        <f>IF(PedBerMedDisc!C30&lt;&gt;"",IF(PedBerMedDisc!C30&gt;1,TRIM(PedBerMedDisc!C30)&amp;", "&amp;GlobBerOpm!C34&amp;" ("&amp;PedBerMedDisc!M30&amp;" "&amp;PedBerMedDisc!F30&amp;"/kg/dag)",TRIM(PedBerMedDisc!C30)&amp;", "&amp;GlobBerOpm!C34),"")</f>
        <v/>
      </c>
      <c r="D31" s="232" t="str">
        <f>IF(PedGuiMedDisc!H62&lt;&gt;"",PedGuiMedDisc!H62,"")</f>
        <v/>
      </c>
      <c r="E31" s="233" t="str">
        <f>IF(AND(D31&lt;&gt;"",D31&lt;&gt;"STOP"),PedBerMedDisc!H30&amp;" "&amp;PedBerMedDisc!F30,"")</f>
        <v/>
      </c>
      <c r="F31" s="233" t="str">
        <f>IF(AND(D31&lt;&gt;"",D31&lt;&gt;"STOP"),PedBerMedDisc!L30," ")</f>
        <v xml:space="preserve"> </v>
      </c>
      <c r="G31" s="233" t="str">
        <f>IF(PedGuiMedDisc!L53&lt;&gt;"",PedGuiMedDisc!L53&amp;" "&amp;PedGuiMedDisc!M53&amp;" "&amp;INDEX(PedBerMedDisc!$B$27:$B$30,PedBerMedDisc!O30,1)&amp;" in "&amp;PedGuiMedDisc!$O$44,"")</f>
        <v/>
      </c>
      <c r="H31" s="106" t="str">
        <f>IF(OR($D31="1 dd",$D31="2 dd",$D31="3 dd",$D31="4 dd",$D31="6 dd",$D31="8 dd",$D31="12 dd",$D31="an",$D31="1 X"),VLOOKUP($D31,PedTblTijden!$A$16:$X$26,PedTblTijden!B$14,FALSE),"")</f>
        <v/>
      </c>
      <c r="I31" s="15" t="str">
        <f>IF(OR($D31="1 dd",$D31="2 dd",$D31="3 dd",$D31="4 dd",$D31="6 dd",$D31="8 dd",$D31="12 dd",$D31="an",$D31="1 X"),VLOOKUP($D31,PedTblTijden!$A$16:$X$26,PedTblTijden!C$14,FALSE),"")</f>
        <v/>
      </c>
      <c r="J31" s="106" t="str">
        <f>IF(OR($D31="1 dd",$D31="2 dd",$D31="3 dd",$D31="4 dd",$D31="6 dd",$D31="8 dd",$D31="12 dd",$D31="an",$D31="1 X"),VLOOKUP($D31,PedTblTijden!$A$16:$X$26,PedTblTijden!D$14,FALSE),"")</f>
        <v/>
      </c>
      <c r="K31" s="15" t="str">
        <f>IF(OR($D31="1 dd",$D31="2 dd",$D31="3 dd",$D31="4 dd",$D31="6 dd",$D31="8 dd",$D31="12 dd",$D31="an",$D31="1 X"),VLOOKUP($D31,PedTblTijden!$A$16:$X$26,PedTblTijden!E$14,FALSE),"")</f>
        <v/>
      </c>
      <c r="L31" s="106" t="str">
        <f>IF(OR($D31="1 dd",$D31="2 dd",$D31="3 dd",$D31="4 dd",$D31="6 dd",$D31="8 dd",$D31="12 dd",$D31="an",$D31="1 X"),VLOOKUP($D31,PedTblTijden!$A$16:$X$26,PedTblTijden!F$14,FALSE),"")</f>
        <v/>
      </c>
      <c r="M31" s="15" t="str">
        <f>IF(OR($D31="1 dd",$D31="2 dd",$D31="3 dd",$D31="4 dd",$D31="6 dd",$D31="8 dd",$D31="12 dd",$D31="an",$D31="1 X"),VLOOKUP($D31,PedTblTijden!$A$16:$X$26,PedTblTijden!G$14,FALSE),"")</f>
        <v/>
      </c>
      <c r="N31" s="106" t="str">
        <f>IF(OR($D31="1 dd",$D31="2 dd",$D31="3 dd",$D31="4 dd",$D31="6 dd",$D31="8 dd",$D31="12 dd",$D31="an",$D31="1 X"),VLOOKUP($D31,PedTblTijden!$A$16:$X$26,PedTblTijden!H$14,FALSE),"")</f>
        <v/>
      </c>
      <c r="O31" s="15" t="str">
        <f>IF(OR($D31="1 dd",$D31="2 dd",$D31="3 dd",$D31="4 dd",$D31="6 dd",$D31="8 dd",$D31="12 dd",$D31="an",$D31="1 X"),VLOOKUP($D31,PedTblTijden!$A$16:$X$26,PedTblTijden!I$14,FALSE),"")</f>
        <v/>
      </c>
      <c r="P31" s="106" t="str">
        <f>IF(OR($D31="1 dd",$D31="2 dd",$D31="3 dd",$D31="4 dd",$D31="6 dd",$D31="8 dd",$D31="12 dd",$D31="an",$D31="1 X"),VLOOKUP($D31,PedTblTijden!$A$16:$X$26,PedTblTijden!J$14,FALSE),"")</f>
        <v/>
      </c>
      <c r="Q31" s="15" t="str">
        <f>IF(OR($D31="1 dd",$D31="2 dd",$D31="3 dd",$D31="4 dd",$D31="6 dd",$D31="8 dd",$D31="12 dd",$D31="an",$D31="1 X"),VLOOKUP($D31,PedTblTijden!$A$16:$X$26,PedTblTijden!K$14,FALSE),"")</f>
        <v/>
      </c>
      <c r="R31" s="106" t="str">
        <f>IF(OR($D31="1 dd",$D31="2 dd",$D31="3 dd",$D31="4 dd",$D31="6 dd",$D31="8 dd",$D31="12 dd",$D31="an",$D31="1 X"),VLOOKUP($D31,PedTblTijden!$A$16:$X$26,PedTblTijden!L$14,FALSE),"")</f>
        <v/>
      </c>
      <c r="S31" s="15" t="str">
        <f>IF(OR($D31="1 dd",$D31="2 dd",$D31="3 dd",$D31="4 dd",$D31="6 dd",$D31="8 dd",$D31="12 dd",$D31="an",$D31="1 X"),VLOOKUP($D31,PedTblTijden!$A$16:$X$26,PedTblTijden!M$14,FALSE),"")</f>
        <v/>
      </c>
      <c r="T31" s="106" t="str">
        <f>IF(OR($D31="1 dd",$D31="2 dd",$D31="3 dd",$D31="4 dd",$D31="6 dd",$D31="8 dd",$D31="12 dd",$D31="an",$D31="1 X"),VLOOKUP($D31,PedTblTijden!$A$16:$X$26,PedTblTijden!N$14,FALSE),"")</f>
        <v/>
      </c>
      <c r="U31" s="15" t="str">
        <f>IF(OR($D31="1 dd",$D31="2 dd",$D31="3 dd",$D31="4 dd",$D31="6 dd",$D31="8 dd",$D31="12 dd",$D31="an",$D31="1 X"),VLOOKUP($D31,PedTblTijden!$A$16:$X$26,PedTblTijden!O$14,FALSE),"")</f>
        <v/>
      </c>
      <c r="V31" s="106" t="str">
        <f>IF(OR($D31="1 dd",$D31="2 dd",$D31="3 dd",$D31="4 dd",$D31="6 dd",$D31="8 dd",$D31="12 dd",$D31="an",$D31="1 X"),VLOOKUP($D31,PedTblTijden!$A$16:$X$26,PedTblTijden!P$14,FALSE),"")</f>
        <v/>
      </c>
      <c r="W31" s="15" t="str">
        <f>IF(OR($D31="1 dd",$D31="2 dd",$D31="3 dd",$D31="4 dd",$D31="6 dd",$D31="8 dd",$D31="12 dd",$D31="an",$D31="1 X"),VLOOKUP($D31,PedTblTijden!$A$16:$X$26,PedTblTijden!Q$14,FALSE),"")</f>
        <v/>
      </c>
      <c r="X31" s="106" t="str">
        <f>IF(OR($D31="1 dd",$D31="2 dd",$D31="3 dd",$D31="4 dd",$D31="6 dd",$D31="8 dd",$D31="12 dd",$D31="an",$D31="1 X"),VLOOKUP($D31,PedTblTijden!$A$16:$X$26,PedTblTijden!R$14,FALSE),"")</f>
        <v/>
      </c>
      <c r="Y31" s="15" t="str">
        <f>IF(OR($D31="1 dd",$D31="2 dd",$D31="3 dd",$D31="4 dd",$D31="6 dd",$D31="8 dd",$D31="12 dd",$D31="an",$D31="1 X"),VLOOKUP($D31,PedTblTijden!$A$16:$X$26,PedTblTijden!S$14,FALSE),"")</f>
        <v/>
      </c>
      <c r="Z31" s="106" t="str">
        <f>IF(OR($D31="1 dd",$D31="2 dd",$D31="3 dd",$D31="4 dd",$D31="6 dd",$D31="8 dd",$D31="12 dd",$D31="an",$D31="1 X"),VLOOKUP($D31,PedTblTijden!$A$16:$X$26,PedTblTijden!T$14,FALSE),"")</f>
        <v/>
      </c>
      <c r="AA31" s="15" t="str">
        <f>IF(OR($D31="1 dd",$D31="2 dd",$D31="3 dd",$D31="4 dd",$D31="6 dd",$D31="8 dd",$D31="12 dd",$D31="an",$D31="1 X"),VLOOKUP($D31,PedTblTijden!$A$16:$X$26,PedTblTijden!U$14,FALSE),"")</f>
        <v/>
      </c>
      <c r="AB31" s="106" t="str">
        <f>IF(OR($D31="1 dd",$D31="2 dd",$D31="3 dd",$D31="4 dd",$D31="6 dd",$D31="8 dd",$D31="12 dd",$D31="an",$D31="1 X"),VLOOKUP($D31,PedTblTijden!$A$16:$X$26,PedTblTijden!V$14,FALSE),"")</f>
        <v/>
      </c>
      <c r="AC31" s="15" t="str">
        <f>IF(OR($D31="1 dd",$D31="2 dd",$D31="3 dd",$D31="4 dd",$D31="6 dd",$D31="8 dd",$D31="12 dd",$D31="an",$D31="1 X"),VLOOKUP($D31,PedTblTijden!$A$16:$X$26,PedTblTijden!W$14,FALSE),"")</f>
        <v/>
      </c>
      <c r="AD31" s="106" t="str">
        <f>IF(OR($D31="1 dd",$D31="2 dd",$D31="3 dd",$D31="4 dd",$D31="6 dd",$D31="8 dd",$D31="12 dd",$D31="an",$D31="1 X"),VLOOKUP($D31,PedTblTijden!$A$16:$X$26,PedTblTijden!X$14,FALSE),"")</f>
        <v/>
      </c>
      <c r="AE31" s="17"/>
      <c r="AF31" s="105"/>
      <c r="AG31" s="17"/>
    </row>
    <row r="32" spans="2:33" s="517" customFormat="1" ht="26.1" customHeight="1" x14ac:dyDescent="0.35">
      <c r="B32" s="107"/>
      <c r="C32" s="231" t="str">
        <f>IF(PedBerMedDisc!C31&lt;&gt;"",IF(PedBerMedDisc!C31&gt;1,TRIM(PedBerMedDisc!C31)&amp;", "&amp;GlobBerOpm!C35&amp;" ("&amp;PedBerMedDisc!M31&amp;" "&amp;PedBerMedDisc!F31&amp;"/kg/dag)",TRIM(PedBerMedDisc!C31)&amp;", "&amp;GlobBerOpm!C35),"")</f>
        <v/>
      </c>
      <c r="D32" s="232" t="str">
        <f>IF(PedGuiMedDisc!H64&lt;&gt;"",PedGuiMedDisc!H64,"")</f>
        <v/>
      </c>
      <c r="E32" s="233" t="str">
        <f>IF(AND(D32&lt;&gt;"",D32&lt;&gt;"STOP"),PedBerMedDisc!H31&amp;" "&amp;PedBerMedDisc!F31,"")</f>
        <v/>
      </c>
      <c r="F32" s="233" t="str">
        <f>IF(AND(D32&lt;&gt;"",D32&lt;&gt;"STOP"),PedBerMedDisc!L31," ")</f>
        <v xml:space="preserve"> </v>
      </c>
      <c r="G32" s="233" t="str">
        <f>IF(PedGuiMedDisc!L54&lt;&gt;"",PedGuiMedDisc!L54&amp;" "&amp;PedGuiMedDisc!M54&amp;" "&amp;INDEX(PedBerMedDisc!$B$27:$B$30,PedBerMedDisc!O31,1)&amp;" in "&amp;PedGuiMedDisc!$O$44,"")</f>
        <v/>
      </c>
      <c r="H32" s="106" t="str">
        <f>IF(OR($D32="1 dd",$D32="2 dd",$D32="3 dd",$D32="4 dd",$D32="6 dd",$D32="8 dd",$D32="12 dd",$D32="an",$D32="1 X"),VLOOKUP($D32,PedTblTijden!$A$16:$X$26,PedTblTijden!B$14,FALSE),"")</f>
        <v/>
      </c>
      <c r="I32" s="15" t="str">
        <f>IF(OR($D32="1 dd",$D32="2 dd",$D32="3 dd",$D32="4 dd",$D32="6 dd",$D32="8 dd",$D32="12 dd",$D32="an",$D32="1 X"),VLOOKUP($D32,PedTblTijden!$A$16:$X$26,PedTblTijden!C$14,FALSE),"")</f>
        <v/>
      </c>
      <c r="J32" s="106" t="str">
        <f>IF(OR($D32="1 dd",$D32="2 dd",$D32="3 dd",$D32="4 dd",$D32="6 dd",$D32="8 dd",$D32="12 dd",$D32="an",$D32="1 X"),VLOOKUP($D32,PedTblTijden!$A$16:$X$26,PedTblTijden!D$14,FALSE),"")</f>
        <v/>
      </c>
      <c r="K32" s="15" t="str">
        <f>IF(OR($D32="1 dd",$D32="2 dd",$D32="3 dd",$D32="4 dd",$D32="6 dd",$D32="8 dd",$D32="12 dd",$D32="an",$D32="1 X"),VLOOKUP($D32,PedTblTijden!$A$16:$X$26,PedTblTijden!E$14,FALSE),"")</f>
        <v/>
      </c>
      <c r="L32" s="106" t="str">
        <f>IF(OR($D32="1 dd",$D32="2 dd",$D32="3 dd",$D32="4 dd",$D32="6 dd",$D32="8 dd",$D32="12 dd",$D32="an",$D32="1 X"),VLOOKUP($D32,PedTblTijden!$A$16:$X$26,PedTblTijden!F$14,FALSE),"")</f>
        <v/>
      </c>
      <c r="M32" s="15" t="str">
        <f>IF(OR($D32="1 dd",$D32="2 dd",$D32="3 dd",$D32="4 dd",$D32="6 dd",$D32="8 dd",$D32="12 dd",$D32="an",$D32="1 X"),VLOOKUP($D32,PedTblTijden!$A$16:$X$26,PedTblTijden!G$14,FALSE),"")</f>
        <v/>
      </c>
      <c r="N32" s="106" t="str">
        <f>IF(OR($D32="1 dd",$D32="2 dd",$D32="3 dd",$D32="4 dd",$D32="6 dd",$D32="8 dd",$D32="12 dd",$D32="an",$D32="1 X"),VLOOKUP($D32,PedTblTijden!$A$16:$X$26,PedTblTijden!H$14,FALSE),"")</f>
        <v/>
      </c>
      <c r="O32" s="15" t="str">
        <f>IF(OR($D32="1 dd",$D32="2 dd",$D32="3 dd",$D32="4 dd",$D32="6 dd",$D32="8 dd",$D32="12 dd",$D32="an",$D32="1 X"),VLOOKUP($D32,PedTblTijden!$A$16:$X$26,PedTblTijden!I$14,FALSE),"")</f>
        <v/>
      </c>
      <c r="P32" s="106" t="str">
        <f>IF(OR($D32="1 dd",$D32="2 dd",$D32="3 dd",$D32="4 dd",$D32="6 dd",$D32="8 dd",$D32="12 dd",$D32="an",$D32="1 X"),VLOOKUP($D32,PedTblTijden!$A$16:$X$26,PedTblTijden!J$14,FALSE),"")</f>
        <v/>
      </c>
      <c r="Q32" s="15" t="str">
        <f>IF(OR($D32="1 dd",$D32="2 dd",$D32="3 dd",$D32="4 dd",$D32="6 dd",$D32="8 dd",$D32="12 dd",$D32="an",$D32="1 X"),VLOOKUP($D32,PedTblTijden!$A$16:$X$26,PedTblTijden!K$14,FALSE),"")</f>
        <v/>
      </c>
      <c r="R32" s="106" t="str">
        <f>IF(OR($D32="1 dd",$D32="2 dd",$D32="3 dd",$D32="4 dd",$D32="6 dd",$D32="8 dd",$D32="12 dd",$D32="an",$D32="1 X"),VLOOKUP($D32,PedTblTijden!$A$16:$X$26,PedTblTijden!L$14,FALSE),"")</f>
        <v/>
      </c>
      <c r="S32" s="15" t="str">
        <f>IF(OR($D32="1 dd",$D32="2 dd",$D32="3 dd",$D32="4 dd",$D32="6 dd",$D32="8 dd",$D32="12 dd",$D32="an",$D32="1 X"),VLOOKUP($D32,PedTblTijden!$A$16:$X$26,PedTblTijden!M$14,FALSE),"")</f>
        <v/>
      </c>
      <c r="T32" s="106" t="str">
        <f>IF(OR($D32="1 dd",$D32="2 dd",$D32="3 dd",$D32="4 dd",$D32="6 dd",$D32="8 dd",$D32="12 dd",$D32="an",$D32="1 X"),VLOOKUP($D32,PedTblTijden!$A$16:$X$26,PedTblTijden!N$14,FALSE),"")</f>
        <v/>
      </c>
      <c r="U32" s="15" t="str">
        <f>IF(OR($D32="1 dd",$D32="2 dd",$D32="3 dd",$D32="4 dd",$D32="6 dd",$D32="8 dd",$D32="12 dd",$D32="an",$D32="1 X"),VLOOKUP($D32,PedTblTijden!$A$16:$X$26,PedTblTijden!O$14,FALSE),"")</f>
        <v/>
      </c>
      <c r="V32" s="106" t="str">
        <f>IF(OR($D32="1 dd",$D32="2 dd",$D32="3 dd",$D32="4 dd",$D32="6 dd",$D32="8 dd",$D32="12 dd",$D32="an",$D32="1 X"),VLOOKUP($D32,PedTblTijden!$A$16:$X$26,PedTblTijden!P$14,FALSE),"")</f>
        <v/>
      </c>
      <c r="W32" s="15" t="str">
        <f>IF(OR($D32="1 dd",$D32="2 dd",$D32="3 dd",$D32="4 dd",$D32="6 dd",$D32="8 dd",$D32="12 dd",$D32="an",$D32="1 X"),VLOOKUP($D32,PedTblTijden!$A$16:$X$26,PedTblTijden!Q$14,FALSE),"")</f>
        <v/>
      </c>
      <c r="X32" s="106" t="str">
        <f>IF(OR($D32="1 dd",$D32="2 dd",$D32="3 dd",$D32="4 dd",$D32="6 dd",$D32="8 dd",$D32="12 dd",$D32="an",$D32="1 X"),VLOOKUP($D32,PedTblTijden!$A$16:$X$26,PedTblTijden!R$14,FALSE),"")</f>
        <v/>
      </c>
      <c r="Y32" s="15" t="str">
        <f>IF(OR($D32="1 dd",$D32="2 dd",$D32="3 dd",$D32="4 dd",$D32="6 dd",$D32="8 dd",$D32="12 dd",$D32="an",$D32="1 X"),VLOOKUP($D32,PedTblTijden!$A$16:$X$26,PedTblTijden!S$14,FALSE),"")</f>
        <v/>
      </c>
      <c r="Z32" s="106" t="str">
        <f>IF(OR($D32="1 dd",$D32="2 dd",$D32="3 dd",$D32="4 dd",$D32="6 dd",$D32="8 dd",$D32="12 dd",$D32="an",$D32="1 X"),VLOOKUP($D32,PedTblTijden!$A$16:$X$26,PedTblTijden!T$14,FALSE),"")</f>
        <v/>
      </c>
      <c r="AA32" s="15" t="str">
        <f>IF(OR($D32="1 dd",$D32="2 dd",$D32="3 dd",$D32="4 dd",$D32="6 dd",$D32="8 dd",$D32="12 dd",$D32="an",$D32="1 X"),VLOOKUP($D32,PedTblTijden!$A$16:$X$26,PedTblTijden!U$14,FALSE),"")</f>
        <v/>
      </c>
      <c r="AB32" s="106" t="str">
        <f>IF(OR($D32="1 dd",$D32="2 dd",$D32="3 dd",$D32="4 dd",$D32="6 dd",$D32="8 dd",$D32="12 dd",$D32="an",$D32="1 X"),VLOOKUP($D32,PedTblTijden!$A$16:$X$26,PedTblTijden!V$14,FALSE),"")</f>
        <v/>
      </c>
      <c r="AC32" s="15" t="str">
        <f>IF(OR($D32="1 dd",$D32="2 dd",$D32="3 dd",$D32="4 dd",$D32="6 dd",$D32="8 dd",$D32="12 dd",$D32="an",$D32="1 X"),VLOOKUP($D32,PedTblTijden!$A$16:$X$26,PedTblTijden!W$14,FALSE),"")</f>
        <v/>
      </c>
      <c r="AD32" s="106" t="str">
        <f>IF(OR($D32="1 dd",$D32="2 dd",$D32="3 dd",$D32="4 dd",$D32="6 dd",$D32="8 dd",$D32="12 dd",$D32="an",$D32="1 X"),VLOOKUP($D32,PedTblTijden!$A$16:$X$26,PedTblTijden!X$14,FALSE),"")</f>
        <v/>
      </c>
      <c r="AE32" s="17"/>
      <c r="AF32" s="105"/>
      <c r="AG32" s="17"/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9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85" x14ac:dyDescent="0.35"/>
  <cols>
    <col min="2" max="24" width="4.73046875" customWidth="1"/>
  </cols>
  <sheetData>
    <row r="1" spans="1:24" x14ac:dyDescent="0.35">
      <c r="A1" s="577" t="s">
        <v>419</v>
      </c>
    </row>
    <row r="2" spans="1:24" x14ac:dyDescent="0.35">
      <c r="A2" t="s">
        <v>410</v>
      </c>
      <c r="B2">
        <v>20</v>
      </c>
    </row>
    <row r="3" spans="1:24" x14ac:dyDescent="0.35">
      <c r="A3" t="s">
        <v>420</v>
      </c>
      <c r="B3">
        <v>10</v>
      </c>
    </row>
    <row r="4" spans="1:24" x14ac:dyDescent="0.35">
      <c r="A4" t="s">
        <v>421</v>
      </c>
      <c r="B4">
        <v>10</v>
      </c>
      <c r="C4">
        <v>22</v>
      </c>
    </row>
    <row r="5" spans="1:24" x14ac:dyDescent="0.35">
      <c r="A5" t="s">
        <v>422</v>
      </c>
      <c r="B5">
        <v>10</v>
      </c>
      <c r="C5">
        <v>18</v>
      </c>
      <c r="D5">
        <v>2</v>
      </c>
    </row>
    <row r="6" spans="1:24" x14ac:dyDescent="0.35">
      <c r="A6" s="577" t="s">
        <v>423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196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197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198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26</v>
      </c>
    </row>
    <row r="12" spans="1:24" x14ac:dyDescent="0.35">
      <c r="A12">
        <v>10</v>
      </c>
      <c r="B12" t="s">
        <v>420</v>
      </c>
      <c r="C12" t="s">
        <v>421</v>
      </c>
      <c r="D12" t="s">
        <v>422</v>
      </c>
      <c r="E12" t="s">
        <v>423</v>
      </c>
      <c r="F12" t="s">
        <v>196</v>
      </c>
      <c r="G12" t="s">
        <v>198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4">
        <v>10</v>
      </c>
      <c r="C15" s="14">
        <v>11</v>
      </c>
      <c r="D15" s="14">
        <v>12</v>
      </c>
      <c r="E15" s="14">
        <v>13</v>
      </c>
      <c r="F15" s="14">
        <v>14</v>
      </c>
      <c r="G15" s="14">
        <v>15</v>
      </c>
      <c r="H15" s="14">
        <v>16</v>
      </c>
      <c r="I15" s="14">
        <v>17</v>
      </c>
      <c r="J15" s="14">
        <v>18</v>
      </c>
      <c r="K15" s="14">
        <v>19</v>
      </c>
      <c r="L15" s="14">
        <v>20</v>
      </c>
      <c r="M15" s="14">
        <v>21</v>
      </c>
      <c r="N15" s="14">
        <v>22</v>
      </c>
      <c r="O15" s="14">
        <v>23</v>
      </c>
      <c r="P15" s="14">
        <v>24</v>
      </c>
      <c r="Q15" s="14">
        <v>1</v>
      </c>
      <c r="R15" s="14">
        <v>2</v>
      </c>
      <c r="S15" s="14">
        <v>3</v>
      </c>
      <c r="T15" s="14">
        <v>4</v>
      </c>
      <c r="U15" s="14">
        <v>5</v>
      </c>
      <c r="V15" s="14">
        <v>6</v>
      </c>
      <c r="W15" s="14">
        <v>7</v>
      </c>
      <c r="X15" s="14">
        <v>8</v>
      </c>
    </row>
    <row r="16" spans="1:24" x14ac:dyDescent="0.35">
      <c r="A16" t="s">
        <v>470</v>
      </c>
      <c r="B16" s="27"/>
      <c r="C16" s="27"/>
      <c r="D16" s="29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8"/>
      <c r="S16" s="28"/>
      <c r="T16" s="28"/>
      <c r="U16" s="28"/>
      <c r="V16" s="28"/>
      <c r="W16" s="28"/>
      <c r="X16" s="28"/>
    </row>
    <row r="17" spans="1:24" s="517" customFormat="1" x14ac:dyDescent="0.35">
      <c r="A17" s="517" t="s">
        <v>400</v>
      </c>
      <c r="B17" s="27"/>
      <c r="C17" s="27"/>
      <c r="D17" s="29"/>
      <c r="E17" s="27"/>
      <c r="F17" s="27"/>
      <c r="G17" s="27"/>
      <c r="H17" s="27"/>
      <c r="I17" s="27"/>
      <c r="J17" s="27"/>
      <c r="K17" s="27"/>
      <c r="L17" s="29" t="s">
        <v>199</v>
      </c>
      <c r="M17" s="27"/>
      <c r="N17" s="27"/>
      <c r="O17" s="27"/>
      <c r="P17" s="27"/>
      <c r="Q17" s="27"/>
      <c r="R17" s="28"/>
      <c r="S17" s="28"/>
      <c r="T17" s="28"/>
      <c r="U17" s="28"/>
      <c r="V17" s="28"/>
      <c r="W17" s="28"/>
      <c r="X17" s="28"/>
    </row>
    <row r="18" spans="1:24" x14ac:dyDescent="0.35">
      <c r="A18" t="s">
        <v>1075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M18" s="27"/>
      <c r="N18" s="29"/>
      <c r="O18" s="27"/>
      <c r="P18" s="27"/>
      <c r="Q18" s="27"/>
      <c r="R18" s="28"/>
      <c r="S18" s="28"/>
      <c r="T18" s="28"/>
      <c r="U18" s="28"/>
      <c r="V18" s="28"/>
      <c r="W18" s="28"/>
      <c r="X18" s="28"/>
    </row>
    <row r="19" spans="1:24" x14ac:dyDescent="0.35">
      <c r="A19" t="s">
        <v>420</v>
      </c>
      <c r="B19" s="15" t="s">
        <v>199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spans="1:24" x14ac:dyDescent="0.35">
      <c r="A20" t="s">
        <v>421</v>
      </c>
      <c r="B20" s="15" t="s">
        <v>199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 t="s">
        <v>199</v>
      </c>
      <c r="O20" s="15"/>
      <c r="P20" s="15"/>
      <c r="Q20" s="15"/>
    </row>
    <row r="21" spans="1:24" x14ac:dyDescent="0.35">
      <c r="A21" t="s">
        <v>422</v>
      </c>
      <c r="B21" s="15" t="s">
        <v>199</v>
      </c>
      <c r="C21" s="15"/>
      <c r="D21" s="15"/>
      <c r="E21" s="15"/>
      <c r="F21" s="15"/>
      <c r="G21" s="15"/>
      <c r="H21" s="15"/>
      <c r="I21" s="15"/>
      <c r="J21" s="15" t="s">
        <v>199</v>
      </c>
      <c r="K21" s="15"/>
      <c r="L21" s="15"/>
      <c r="M21" s="15"/>
      <c r="N21" s="15"/>
      <c r="O21" s="15"/>
      <c r="P21" s="15"/>
      <c r="Q21" s="15"/>
      <c r="R21" t="s">
        <v>199</v>
      </c>
    </row>
    <row r="22" spans="1:24" x14ac:dyDescent="0.35">
      <c r="A22" t="s">
        <v>423</v>
      </c>
      <c r="B22" s="15"/>
      <c r="C22" s="15"/>
      <c r="D22" s="15" t="s">
        <v>199</v>
      </c>
      <c r="E22" s="15"/>
      <c r="F22" s="15"/>
      <c r="G22" s="15"/>
      <c r="H22" s="15"/>
      <c r="I22" s="15"/>
      <c r="J22" s="15" t="s">
        <v>199</v>
      </c>
      <c r="K22" s="15"/>
      <c r="L22" s="15"/>
      <c r="M22" s="15"/>
      <c r="N22" s="15"/>
      <c r="O22" s="15"/>
      <c r="P22" s="15" t="s">
        <v>199</v>
      </c>
      <c r="Q22" s="15"/>
      <c r="V22" t="s">
        <v>199</v>
      </c>
    </row>
    <row r="23" spans="1:24" x14ac:dyDescent="0.35">
      <c r="A23" t="s">
        <v>196</v>
      </c>
      <c r="B23" s="15" t="s">
        <v>199</v>
      </c>
      <c r="C23" s="15"/>
      <c r="D23" s="15"/>
      <c r="E23" s="15"/>
      <c r="F23" s="15" t="s">
        <v>199</v>
      </c>
      <c r="G23" s="15"/>
      <c r="H23" s="15"/>
      <c r="I23" s="15"/>
      <c r="J23" s="15" t="s">
        <v>199</v>
      </c>
      <c r="K23" s="15"/>
      <c r="L23" s="15"/>
      <c r="M23" s="15"/>
      <c r="N23" s="15" t="s">
        <v>199</v>
      </c>
      <c r="O23" s="15"/>
      <c r="P23" s="15"/>
      <c r="Q23" s="15"/>
      <c r="R23" t="s">
        <v>199</v>
      </c>
      <c r="V23" t="s">
        <v>199</v>
      </c>
    </row>
    <row r="24" spans="1:24" x14ac:dyDescent="0.35">
      <c r="A24" t="s">
        <v>197</v>
      </c>
      <c r="B24" s="15"/>
      <c r="C24" s="15" t="s">
        <v>199</v>
      </c>
      <c r="D24" s="15"/>
      <c r="E24" s="15"/>
      <c r="F24" s="15" t="s">
        <v>199</v>
      </c>
      <c r="G24" s="15"/>
      <c r="H24" s="15"/>
      <c r="I24" s="15" t="s">
        <v>199</v>
      </c>
      <c r="J24" s="15"/>
      <c r="K24" s="15"/>
      <c r="L24" s="15" t="s">
        <v>199</v>
      </c>
      <c r="M24" s="15"/>
      <c r="N24" s="15"/>
      <c r="O24" s="15" t="s">
        <v>199</v>
      </c>
      <c r="P24" s="15"/>
      <c r="Q24" s="15"/>
      <c r="R24" t="s">
        <v>199</v>
      </c>
      <c r="U24" t="s">
        <v>199</v>
      </c>
      <c r="X24" t="s">
        <v>199</v>
      </c>
    </row>
    <row r="25" spans="1:24" x14ac:dyDescent="0.35">
      <c r="A25" t="s">
        <v>198</v>
      </c>
      <c r="B25" s="15" t="s">
        <v>199</v>
      </c>
      <c r="C25" s="15"/>
      <c r="D25" s="15" t="s">
        <v>199</v>
      </c>
      <c r="E25" s="15"/>
      <c r="F25" s="15" t="s">
        <v>199</v>
      </c>
      <c r="G25" s="15"/>
      <c r="H25" s="15" t="s">
        <v>199</v>
      </c>
      <c r="I25" s="15"/>
      <c r="J25" s="15" t="s">
        <v>199</v>
      </c>
      <c r="K25" s="15"/>
      <c r="L25" s="15" t="s">
        <v>199</v>
      </c>
      <c r="M25" s="15"/>
      <c r="N25" s="15" t="s">
        <v>199</v>
      </c>
      <c r="O25" s="15"/>
      <c r="P25" s="15" t="s">
        <v>199</v>
      </c>
      <c r="Q25" s="15"/>
      <c r="R25" t="s">
        <v>199</v>
      </c>
      <c r="T25" t="s">
        <v>199</v>
      </c>
      <c r="V25" t="s">
        <v>199</v>
      </c>
      <c r="X25" t="s">
        <v>199</v>
      </c>
    </row>
    <row r="26" spans="1:24" x14ac:dyDescent="0.35">
      <c r="A26" t="s">
        <v>26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spans="1:24" x14ac:dyDescent="0.3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spans="1:24" x14ac:dyDescent="0.3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spans="1:24" x14ac:dyDescent="0.3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>
      <selection activeCell="B7" sqref="B7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48</v>
      </c>
    </row>
    <row r="3" spans="1:8" x14ac:dyDescent="0.35">
      <c r="A3" s="9" t="s">
        <v>276</v>
      </c>
      <c r="B3" s="43">
        <f ca="1">TODAY()</f>
        <v>42736</v>
      </c>
      <c r="F3" s="51">
        <f>__0_PatNum</f>
        <v>123456</v>
      </c>
      <c r="G3" s="52"/>
      <c r="H3" s="53"/>
    </row>
    <row r="4" spans="1:8" x14ac:dyDescent="0.35">
      <c r="F4" s="54" t="str">
        <f>__2_AchterNaam&amp;",  "&amp;__3_VoorNaam</f>
        <v>Test,  Test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42736</v>
      </c>
      <c r="G5" s="55"/>
      <c r="H5" s="56"/>
    </row>
    <row r="6" spans="1:8" x14ac:dyDescent="0.35">
      <c r="A6" s="583" t="s">
        <v>550</v>
      </c>
      <c r="B6" s="9" t="str">
        <f>__1_Bed</f>
        <v>Unit 1.2</v>
      </c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10" spans="1:8" ht="13.2" thickBot="1" x14ac:dyDescent="0.4">
      <c r="A10" s="9" t="str">
        <f>IF(_Pat_Gewicht/10&lt;7,"Tot.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346</v>
      </c>
    </row>
    <row r="11" spans="1:8" ht="13.2" thickTop="1" x14ac:dyDescent="0.35">
      <c r="A11" s="910" t="s">
        <v>16</v>
      </c>
      <c r="B11" s="911"/>
      <c r="C11" s="911"/>
      <c r="D11" s="911"/>
      <c r="E11" s="911"/>
      <c r="F11" s="911"/>
      <c r="G11" s="911"/>
      <c r="H11" s="912"/>
    </row>
    <row r="12" spans="1:8" ht="25.65" x14ac:dyDescent="0.35">
      <c r="A12" s="32" t="s">
        <v>332</v>
      </c>
      <c r="B12" s="913" t="s">
        <v>186</v>
      </c>
      <c r="C12" s="915"/>
      <c r="D12" s="917" t="s">
        <v>187</v>
      </c>
      <c r="E12" s="917" t="s">
        <v>188</v>
      </c>
      <c r="F12" s="917" t="s">
        <v>189</v>
      </c>
      <c r="G12" s="33"/>
      <c r="H12" s="33" t="s">
        <v>190</v>
      </c>
    </row>
    <row r="13" spans="1:8" x14ac:dyDescent="0.35">
      <c r="A13" s="34" t="s">
        <v>191</v>
      </c>
      <c r="B13" s="914"/>
      <c r="C13" s="916"/>
      <c r="D13" s="918"/>
      <c r="E13" s="918"/>
      <c r="F13" s="918"/>
      <c r="G13" s="33" t="s">
        <v>192</v>
      </c>
      <c r="H13" s="35" t="s">
        <v>193</v>
      </c>
    </row>
    <row r="14" spans="1:8" ht="20.100000000000001" customHeight="1" x14ac:dyDescent="0.35">
      <c r="A14" s="899" t="str">
        <f>IF(_Ped_TPN_Keuze&lt;&gt;1,ROUND(G21/24,1)&amp;"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IF(AND(_Ped_TPN_Keuze&lt;&gt;1,G16&lt;&gt;0,_Pat_Gewicht/10&lt;=50),ROUND(PedBerTPN!F7,0),"")</f>
        <v/>
      </c>
      <c r="H14" s="66"/>
    </row>
    <row r="15" spans="1:8" ht="20.100000000000001" customHeight="1" x14ac:dyDescent="0.35">
      <c r="A15" s="900"/>
      <c r="B15" s="76" t="s">
        <v>430</v>
      </c>
      <c r="C15" s="77"/>
      <c r="D15" s="77" t="s">
        <v>44</v>
      </c>
      <c r="E15" s="77" t="s">
        <v>86</v>
      </c>
      <c r="F15" s="78" t="s">
        <v>86</v>
      </c>
      <c r="G15" s="75" t="str">
        <f>IF(AND(_Ped_TPN_Keuze&lt;&gt;1,G16&lt;&gt;0,_Pat_Gewicht/10&lt;=50),ROUND(PedBerTPN!F8,0),"")</f>
        <v/>
      </c>
      <c r="H15" s="66"/>
    </row>
    <row r="16" spans="1:8" ht="20.100000000000001" customHeight="1" x14ac:dyDescent="0.35">
      <c r="A16" s="32"/>
      <c r="B16" s="76" t="s">
        <v>431</v>
      </c>
      <c r="C16" s="77"/>
      <c r="D16" s="77" t="s">
        <v>195</v>
      </c>
      <c r="E16" s="77" t="s">
        <v>45</v>
      </c>
      <c r="F16" s="78" t="s">
        <v>46</v>
      </c>
      <c r="G16" s="79" t="str">
        <f>IF(_Ped_TPN_Keuze&lt;&gt;1,PedBerTPN!F4,"")</f>
        <v/>
      </c>
      <c r="H16" s="66"/>
    </row>
    <row r="17" spans="1:8" ht="20.100000000000001" customHeight="1" x14ac:dyDescent="0.35">
      <c r="A17" s="32"/>
      <c r="B17" s="76" t="s">
        <v>327</v>
      </c>
      <c r="C17" s="77"/>
      <c r="D17" s="77" t="s">
        <v>47</v>
      </c>
      <c r="E17" s="77"/>
      <c r="F17" s="78"/>
      <c r="G17" s="79" t="str">
        <f>IF(AND(_Ped_TPN_SST1Keuze=2,_Ped_TPN_Keuze&lt;&gt;1,_Pat_Gewicht/10&lt;=50),ROUND(PedBerTPN!F6,0),"")</f>
        <v/>
      </c>
      <c r="H17" s="66"/>
    </row>
    <row r="18" spans="1:8" ht="20.100000000000001" customHeight="1" x14ac:dyDescent="0.35">
      <c r="A18" s="32"/>
      <c r="B18" s="76" t="s">
        <v>432</v>
      </c>
      <c r="C18" s="77"/>
      <c r="D18" s="77"/>
      <c r="E18" s="77" t="s">
        <v>49</v>
      </c>
      <c r="F18" s="78"/>
      <c r="G18" s="79" t="str">
        <f>IF(AND(_Ped_TPN_SST1Keuze=3,_Ped_TPN_Keuze&lt;&gt;1,_Pat_Gewicht/10&lt;=50),ROUND(PedBerTPN!F6,0),"")</f>
        <v/>
      </c>
      <c r="H18" s="66"/>
    </row>
    <row r="19" spans="1:8" ht="20.100000000000001" customHeight="1" x14ac:dyDescent="0.35">
      <c r="A19" s="32"/>
      <c r="B19" s="76" t="s">
        <v>89</v>
      </c>
      <c r="C19" s="77"/>
      <c r="D19" s="77"/>
      <c r="E19" s="77"/>
      <c r="F19" s="78" t="s">
        <v>50</v>
      </c>
      <c r="G19" s="79" t="str">
        <f>IF(AND(_Ped_TPN_SST1Keuze=5,_Ped_TPN_Keuze&lt;&gt;1,_Pat_Gewicht/10&lt;=50),ROUND(PedBerTPN!F6,0),"")</f>
        <v/>
      </c>
      <c r="H19" s="66"/>
    </row>
    <row r="20" spans="1:8" ht="20.100000000000001" customHeight="1" x14ac:dyDescent="0.35">
      <c r="A20" s="32"/>
      <c r="B20" s="76" t="str">
        <f>IF(AND(_Ped_TPN_Keuze=2,_Ped_TPN_SST1Keuze&lt;&gt;2,_Ped_TPN_SST1Keuze&lt;&gt;3,_Ped_TPN_SST1Keuze&lt;&gt;5,_Ped_TPN_SST1Keuze&lt;11),INDEX(tblSSTGlucose,_Ped_TPN_SST1Keuze,1),"Glucose       %")</f>
        <v>Glucose       %</v>
      </c>
      <c r="C20" s="77"/>
      <c r="D20" s="77"/>
      <c r="E20" s="77"/>
      <c r="F20" s="78"/>
      <c r="G20" s="79" t="str">
        <f>IF(AND(_Ped_TPN_Keuze&lt;&gt;1,B20&lt;&gt;"",_Pat_Gewicht/10&lt;=50),IF(AND(_Ped_TPN_SST1Keuze&lt;&gt;2,_Ped_TPN_SST1Keuze&lt;&gt;3,_Ped_TPN_SST1Keuze&lt;&gt;5,_Ped_TPN_SST1Keuze&lt;11),ROUND(PedBerTPN!F6,0),""),"")</f>
        <v/>
      </c>
      <c r="H20" s="66"/>
    </row>
    <row r="21" spans="1:8" ht="15.95" customHeight="1" x14ac:dyDescent="0.35">
      <c r="A21" s="32"/>
      <c r="B21" s="42"/>
      <c r="C21" s="42"/>
      <c r="D21" s="42"/>
      <c r="E21" s="903" t="s">
        <v>237</v>
      </c>
      <c r="F21" s="903"/>
      <c r="G21" s="67">
        <f>SUM(G14:G20)+IF(AND(_Pat_Gewicht/10&gt;=16,_Pat_Gewicht/10&lt;=50),PedBerTPN!F5,0)</f>
        <v>0</v>
      </c>
      <c r="H21" s="66"/>
    </row>
    <row r="22" spans="1:8" ht="15.95" customHeight="1" x14ac:dyDescent="0.35">
      <c r="A22" s="32"/>
      <c r="B22" s="37"/>
      <c r="C22" s="37"/>
      <c r="D22" s="37"/>
      <c r="E22" s="37"/>
      <c r="F22" s="37"/>
      <c r="G22" s="37"/>
      <c r="H22" s="33"/>
    </row>
    <row r="23" spans="1:8" ht="20.100000000000001" customHeight="1" x14ac:dyDescent="0.35">
      <c r="A23" s="897" t="str">
        <f>IF(G26&gt;0,ROUND(G26/24,1)&amp;" ml/u","")</f>
        <v/>
      </c>
      <c r="B23" s="72" t="s">
        <v>215</v>
      </c>
      <c r="C23" s="73"/>
      <c r="D23" s="73" t="s">
        <v>412</v>
      </c>
      <c r="E23" s="73" t="s">
        <v>413</v>
      </c>
      <c r="F23" s="74" t="s">
        <v>195</v>
      </c>
      <c r="G23" s="75">
        <f>ROUND(PedBerTPN!F13,0)</f>
        <v>0</v>
      </c>
      <c r="H23" s="38"/>
    </row>
    <row r="24" spans="1:8" ht="20.100000000000001" customHeight="1" x14ac:dyDescent="0.35">
      <c r="A24" s="898"/>
      <c r="B24" s="76" t="s">
        <v>216</v>
      </c>
      <c r="C24" s="77"/>
      <c r="D24" s="77"/>
      <c r="E24" s="904" t="s">
        <v>314</v>
      </c>
      <c r="F24" s="905"/>
      <c r="G24" s="79">
        <f>ROUND(PedBerTPN!F14,0)</f>
        <v>0</v>
      </c>
      <c r="H24" s="33"/>
    </row>
    <row r="25" spans="1:8" ht="20.100000000000001" customHeight="1" x14ac:dyDescent="0.35">
      <c r="A25" s="32"/>
      <c r="B25" s="76"/>
      <c r="C25" s="77"/>
      <c r="D25" s="77"/>
      <c r="E25" s="904"/>
      <c r="F25" s="905"/>
      <c r="G25" s="79"/>
      <c r="H25" s="33"/>
    </row>
    <row r="26" spans="1:8" ht="15.95" customHeight="1" x14ac:dyDescent="0.35">
      <c r="A26" s="32"/>
      <c r="B26" s="64"/>
      <c r="C26" s="64"/>
      <c r="D26" s="64"/>
      <c r="E26" s="906" t="s">
        <v>237</v>
      </c>
      <c r="F26" s="906"/>
      <c r="G26" s="69">
        <f>SUM(G23:G25)</f>
        <v>0</v>
      </c>
      <c r="H26" s="65"/>
    </row>
    <row r="27" spans="1:8" ht="15.95" customHeight="1" thickBot="1" x14ac:dyDescent="0.4">
      <c r="A27" s="32"/>
      <c r="B27" s="64"/>
      <c r="C27" s="64"/>
      <c r="D27" s="64"/>
      <c r="E27" s="64"/>
      <c r="F27" s="64"/>
      <c r="G27" s="37"/>
      <c r="H27" s="33"/>
    </row>
    <row r="28" spans="1:8" ht="15.95" customHeight="1" thickTop="1" x14ac:dyDescent="0.35">
      <c r="A28" s="39"/>
      <c r="B28" s="901" t="s">
        <v>127</v>
      </c>
      <c r="C28" s="902"/>
      <c r="D28" s="902"/>
      <c r="E28" s="902"/>
      <c r="F28" s="902"/>
      <c r="G28" s="60"/>
      <c r="H28" s="40"/>
    </row>
    <row r="29" spans="1:8" ht="20.100000000000001" customHeight="1" x14ac:dyDescent="0.35">
      <c r="A29" s="897" t="str">
        <f>IF(G36&gt;0,ROUND(G36/24,1)&amp;" ml/u","")</f>
        <v/>
      </c>
      <c r="B29" s="83" t="s">
        <v>34</v>
      </c>
      <c r="C29" s="85"/>
      <c r="D29" s="85"/>
      <c r="E29" s="85"/>
      <c r="F29" s="86"/>
      <c r="G29" s="75">
        <f>IF(AND(OR(_Ped_TPN_Keuze=1,AND(_Ped_TPN_Keuze=2,_Ped_TPN_SST1Keuze&gt;10),_Pat_Gewicht/10&gt;50)),ROUND(PedBerTPN!F7,0),0)</f>
        <v>0</v>
      </c>
      <c r="H29" s="33"/>
    </row>
    <row r="30" spans="1:8" ht="20.100000000000001" customHeight="1" x14ac:dyDescent="0.35">
      <c r="A30" s="898"/>
      <c r="B30" s="84" t="s">
        <v>433</v>
      </c>
      <c r="C30" s="87"/>
      <c r="D30" s="87"/>
      <c r="E30" s="87"/>
      <c r="F30" s="88"/>
      <c r="G30" s="79">
        <f>IF(AND(OR(_Ped_TPN_Keuze=1,AND(_Ped_TPN_Keuze=2,_Ped_TPN_SST1Keuze&gt;10),_Pat_Gewicht/10&gt;50)),ROUND(PedBerTPN!F8,0),0)</f>
        <v>0</v>
      </c>
      <c r="H30" s="33"/>
    </row>
    <row r="31" spans="1:8" ht="20.100000000000001" customHeight="1" x14ac:dyDescent="0.35">
      <c r="A31" s="32"/>
      <c r="B31" s="84" t="s">
        <v>453</v>
      </c>
      <c r="C31" s="87"/>
      <c r="D31" s="87"/>
      <c r="E31" s="87"/>
      <c r="F31" s="88"/>
      <c r="G31" s="79">
        <f>PedBerTPN!F9</f>
        <v>0</v>
      </c>
      <c r="H31" s="33"/>
    </row>
    <row r="32" spans="1:8" ht="20.100000000000001" customHeight="1" x14ac:dyDescent="0.35">
      <c r="A32" s="32"/>
      <c r="B32" s="84" t="s">
        <v>454</v>
      </c>
      <c r="C32" s="87"/>
      <c r="D32" s="87"/>
      <c r="E32" s="87"/>
      <c r="F32" s="88"/>
      <c r="G32" s="79">
        <f>PedBerTPN!F10</f>
        <v>0</v>
      </c>
      <c r="H32" s="33"/>
    </row>
    <row r="33" spans="1:8" ht="20.100000000000001" customHeight="1" x14ac:dyDescent="0.35">
      <c r="A33" s="32"/>
      <c r="B33" s="84" t="s">
        <v>327</v>
      </c>
      <c r="C33" s="87"/>
      <c r="D33" s="87"/>
      <c r="E33" s="87"/>
      <c r="F33" s="88"/>
      <c r="G33" s="79">
        <f>IF(_Pat_Gewicht/10&lt;=50,PedBerTPN!F17,0)+IF(AND(_Ped_TPN_SST1Keuze=2,_Ped_TPN_Keuze=1,_Pat_Gewicht/10&lt;=50),ROUND(PedBerTPN!F6,0),0)</f>
        <v>0</v>
      </c>
      <c r="H33" s="33"/>
    </row>
    <row r="34" spans="1:8" ht="20.100000000000001" customHeight="1" x14ac:dyDescent="0.35">
      <c r="A34" s="32"/>
      <c r="B34" s="84" t="str">
        <f>IF(AND(OR(_Ped_TPN_Keuze=1,AND(_Ped_TPN_Keuze=2,_Ped_TPN_SST1Keuze&gt;10)),_Ped_TPN_SST1Keuze&lt;&gt;11,_Ped_TPN_SST1Keuze&lt;&gt;2),INDEX(tblSSTGlucose,_Ped_TPN_SST1Keuze,1),"Glucose       %")</f>
        <v>Glucose 5%</v>
      </c>
      <c r="C34" s="87"/>
      <c r="D34" s="87"/>
      <c r="E34" s="87"/>
      <c r="F34" s="88"/>
      <c r="G34" s="79">
        <f>IF(AND(OR(_Ped_TPN_Keuze=1,AND(_Ped_TPN_Keuze=2,_Ped_TPN_SST1Keuze&gt;10),_Pat_Gewicht/10&gt;50),_Ped_TPN_SST1Keuze&lt;&gt;2,_Ped_TPN_SST1Keuze&lt;&gt;11),ROUND(PedBerTPN!F6,0),"")</f>
        <v>0</v>
      </c>
      <c r="H34" s="33"/>
    </row>
    <row r="35" spans="1:8" ht="20.100000000000001" customHeight="1" x14ac:dyDescent="0.35">
      <c r="A35" s="32"/>
      <c r="B35" s="83" t="s">
        <v>434</v>
      </c>
      <c r="C35" s="85"/>
      <c r="D35" s="85"/>
      <c r="E35" s="85"/>
      <c r="F35" s="86"/>
      <c r="G35" s="79" t="str">
        <f>IF(AND(_Ped_TPN_SST1Keuze=11),ROUND(PedBerTPN!F6,0),"")</f>
        <v/>
      </c>
      <c r="H35" s="33"/>
    </row>
    <row r="36" spans="1:8" ht="15.95" customHeight="1" x14ac:dyDescent="0.35">
      <c r="A36" s="32"/>
      <c r="B36" s="64"/>
      <c r="C36" s="64"/>
      <c r="D36" s="64"/>
      <c r="E36" s="906" t="s">
        <v>239</v>
      </c>
      <c r="F36" s="906"/>
      <c r="G36" s="68">
        <f>SUM(G29:G35)</f>
        <v>0</v>
      </c>
      <c r="H36" s="33"/>
    </row>
    <row r="37" spans="1:8" ht="15.95" customHeight="1" thickBot="1" x14ac:dyDescent="0.4">
      <c r="A37" s="32"/>
      <c r="B37" s="64"/>
      <c r="C37" s="64"/>
      <c r="D37" s="64"/>
      <c r="E37" s="64"/>
      <c r="F37" s="64"/>
      <c r="G37" s="37"/>
      <c r="H37" s="33"/>
    </row>
    <row r="38" spans="1:8" ht="15.95" customHeight="1" thickTop="1" x14ac:dyDescent="0.35">
      <c r="A38" s="39"/>
      <c r="B38" s="907" t="s">
        <v>268</v>
      </c>
      <c r="C38" s="908"/>
      <c r="D38" s="908"/>
      <c r="E38" s="908"/>
      <c r="F38" s="909"/>
      <c r="G38" s="40" t="s">
        <v>269</v>
      </c>
      <c r="H38" s="40"/>
    </row>
    <row r="39" spans="1:8" ht="15.95" customHeight="1" x14ac:dyDescent="0.35">
      <c r="A39" s="41"/>
      <c r="B39" s="894" t="s">
        <v>270</v>
      </c>
      <c r="C39" s="895"/>
      <c r="D39" s="895"/>
      <c r="E39" s="895"/>
      <c r="F39" s="896"/>
      <c r="G39" s="35" t="s">
        <v>271</v>
      </c>
      <c r="H39" s="33"/>
    </row>
    <row r="40" spans="1:8" ht="15.95" customHeight="1" x14ac:dyDescent="0.35">
      <c r="A40" s="41"/>
      <c r="B40" s="894" t="s">
        <v>272</v>
      </c>
      <c r="C40" s="895"/>
      <c r="D40" s="895"/>
      <c r="E40" s="895"/>
      <c r="F40" s="896"/>
      <c r="G40" s="35" t="s">
        <v>269</v>
      </c>
      <c r="H40" s="36"/>
    </row>
    <row r="42" spans="1:8" x14ac:dyDescent="0.35">
      <c r="A42" s="9" t="s">
        <v>273</v>
      </c>
    </row>
    <row r="43" spans="1:8" x14ac:dyDescent="0.35">
      <c r="A43" s="9" t="s">
        <v>238</v>
      </c>
    </row>
    <row r="45" spans="1:8" x14ac:dyDescent="0.35">
      <c r="A45" s="9" t="s">
        <v>274</v>
      </c>
    </row>
    <row r="47" spans="1:8" x14ac:dyDescent="0.35">
      <c r="A47" s="9" t="s">
        <v>85</v>
      </c>
    </row>
    <row r="49" spans="6:6" ht="13.2" x14ac:dyDescent="0.4">
      <c r="F49" s="3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9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>
      <selection activeCell="B6" sqref="B6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111</v>
      </c>
    </row>
    <row r="3" spans="1:8" x14ac:dyDescent="0.35">
      <c r="A3" s="9" t="s">
        <v>276</v>
      </c>
      <c r="B3" s="43">
        <f ca="1">TODAY()</f>
        <v>42736</v>
      </c>
      <c r="F3" s="51">
        <f>__0_PatNum</f>
        <v>123456</v>
      </c>
      <c r="G3" s="52"/>
      <c r="H3" s="53"/>
    </row>
    <row r="4" spans="1:8" x14ac:dyDescent="0.35">
      <c r="F4" s="54" t="str">
        <f>__2_AchterNaam&amp;",  "&amp;__3_VoorNaam</f>
        <v>Test,  Test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42736</v>
      </c>
      <c r="G5" s="55"/>
      <c r="H5" s="56"/>
    </row>
    <row r="6" spans="1:8" x14ac:dyDescent="0.35">
      <c r="A6" s="583" t="s">
        <v>550</v>
      </c>
      <c r="B6" s="9" t="str">
        <f>__1_Bed</f>
        <v>Unit 1.2</v>
      </c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10" spans="1:8" ht="13.2" thickBot="1" x14ac:dyDescent="0.4">
      <c r="A10" s="9" t="str">
        <f>IF(_Pat_Gewicht/10&lt;7,"Tot.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346</v>
      </c>
    </row>
    <row r="11" spans="1:8" ht="13.2" thickTop="1" x14ac:dyDescent="0.35">
      <c r="A11" s="910" t="s">
        <v>16</v>
      </c>
      <c r="B11" s="911"/>
      <c r="C11" s="911"/>
      <c r="D11" s="911"/>
      <c r="E11" s="911"/>
      <c r="F11" s="911"/>
      <c r="G11" s="911"/>
      <c r="H11" s="912"/>
    </row>
    <row r="12" spans="1:8" ht="25.65" x14ac:dyDescent="0.35">
      <c r="A12" s="32" t="s">
        <v>332</v>
      </c>
      <c r="B12" s="913" t="s">
        <v>186</v>
      </c>
      <c r="C12" s="915"/>
      <c r="D12" s="917" t="s">
        <v>187</v>
      </c>
      <c r="E12" s="917" t="s">
        <v>188</v>
      </c>
      <c r="F12" s="917" t="s">
        <v>189</v>
      </c>
      <c r="G12" s="33"/>
      <c r="H12" s="33" t="s">
        <v>190</v>
      </c>
    </row>
    <row r="13" spans="1:8" ht="15" customHeight="1" x14ac:dyDescent="0.35">
      <c r="A13" s="34" t="s">
        <v>191</v>
      </c>
      <c r="B13" s="914"/>
      <c r="C13" s="916"/>
      <c r="D13" s="918"/>
      <c r="E13" s="918"/>
      <c r="F13" s="918"/>
      <c r="G13" s="33" t="s">
        <v>192</v>
      </c>
      <c r="H13" s="35" t="s">
        <v>193</v>
      </c>
    </row>
    <row r="14" spans="1:8" ht="20.100000000000001" customHeight="1" x14ac:dyDescent="0.35">
      <c r="A14" s="899" t="str">
        <f>IF(_Ped_TPN_Keuze&lt;&gt;1,ROUND(G22/24,1)&amp;"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IF(AND(_Ped_TPN_Keuze&lt;&gt;1,G16&lt;&gt;0),ROUND(PedBerTPN!F7,0),"")</f>
        <v/>
      </c>
      <c r="H14" s="33"/>
    </row>
    <row r="15" spans="1:8" ht="20.100000000000001" customHeight="1" x14ac:dyDescent="0.35">
      <c r="A15" s="900"/>
      <c r="B15" s="76" t="s">
        <v>430</v>
      </c>
      <c r="C15" s="77"/>
      <c r="D15" s="77" t="s">
        <v>435</v>
      </c>
      <c r="E15" s="77" t="s">
        <v>44</v>
      </c>
      <c r="F15" s="78" t="s">
        <v>44</v>
      </c>
      <c r="G15" s="75" t="str">
        <f>IF(AND(_Ped_TPN_Keuze&lt;&gt;1,G16&lt;&gt;0),ROUND(PedBerTPN!F8,0),"")</f>
        <v/>
      </c>
      <c r="H15" s="33"/>
    </row>
    <row r="16" spans="1:8" ht="20.100000000000001" customHeight="1" x14ac:dyDescent="0.35">
      <c r="A16" s="32"/>
      <c r="B16" s="76" t="s">
        <v>436</v>
      </c>
      <c r="C16" s="77"/>
      <c r="D16" s="77" t="s">
        <v>413</v>
      </c>
      <c r="E16" s="77" t="s">
        <v>437</v>
      </c>
      <c r="F16" s="78" t="s">
        <v>45</v>
      </c>
      <c r="G16" s="79" t="str">
        <f>IF(_Ped_TPN_Keuze&lt;&gt;1,PedBerTPN!F4,"")</f>
        <v/>
      </c>
      <c r="H16" s="33"/>
    </row>
    <row r="17" spans="1:8" ht="20.100000000000001" customHeight="1" x14ac:dyDescent="0.35">
      <c r="A17" s="32"/>
      <c r="B17" s="76" t="s">
        <v>327</v>
      </c>
      <c r="C17" s="77"/>
      <c r="D17" s="77" t="s">
        <v>438</v>
      </c>
      <c r="E17" s="77"/>
      <c r="F17" s="78"/>
      <c r="G17" s="79" t="str">
        <f>IF(AND(_Ped_TPN_SST1Keuze=2,_Ped_TPN_Keuze&lt;&gt;1),ROUND(PedBerTPN!F6,0),"")</f>
        <v/>
      </c>
      <c r="H17" s="33"/>
    </row>
    <row r="18" spans="1:8" ht="20.100000000000001" customHeight="1" x14ac:dyDescent="0.35">
      <c r="A18" s="32"/>
      <c r="B18" s="76" t="s">
        <v>100</v>
      </c>
      <c r="C18" s="77"/>
      <c r="D18" s="77"/>
      <c r="E18" s="77" t="s">
        <v>439</v>
      </c>
      <c r="F18" s="78"/>
      <c r="G18" s="79" t="str">
        <f>IF(AND(_Ped_TPN_SST1Keuze=6,_Ped_TPN_Keuze&lt;&gt;1),ROUND(PedBerTPN!F6,0),"")</f>
        <v/>
      </c>
      <c r="H18" s="33"/>
    </row>
    <row r="19" spans="1:8" ht="20.100000000000001" customHeight="1" x14ac:dyDescent="0.35">
      <c r="A19" s="32"/>
      <c r="B19" s="76" t="s">
        <v>440</v>
      </c>
      <c r="C19" s="77"/>
      <c r="D19" s="77"/>
      <c r="E19" s="77"/>
      <c r="F19" s="78" t="s">
        <v>441</v>
      </c>
      <c r="G19" s="79" t="str">
        <f>IF(AND(_Ped_TPN_SST1Keuze=8,_Ped_TPN_Keuze&lt;&gt;1,_Pat_Gewicht/10&lt;=10),ROUND(PedBerTPN!F6,0),"")</f>
        <v/>
      </c>
      <c r="H19" s="33"/>
    </row>
    <row r="20" spans="1:8" ht="20.100000000000001" customHeight="1" x14ac:dyDescent="0.35">
      <c r="A20" s="32"/>
      <c r="B20" s="76" t="s">
        <v>442</v>
      </c>
      <c r="C20" s="77"/>
      <c r="D20" s="77"/>
      <c r="E20" s="77"/>
      <c r="F20" s="78" t="s">
        <v>443</v>
      </c>
      <c r="G20" s="79" t="str">
        <f>IF(AND(_Ped_TPN_SST1Keuze=8,_Ped_TPN_Keuze&lt;&gt;1,_Pat_Gewicht/10&gt;10),ROUND(PedBerTPN!F6,0),"")</f>
        <v/>
      </c>
      <c r="H20" s="33"/>
    </row>
    <row r="21" spans="1:8" ht="20.100000000000001" customHeight="1" x14ac:dyDescent="0.35">
      <c r="A21" s="32"/>
      <c r="B21" s="76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7"/>
      <c r="D21" s="77"/>
      <c r="E21" s="77"/>
      <c r="F21" s="78"/>
      <c r="G21" s="79" t="str">
        <f>IF(AND(_Ped_TPN_Keuze&lt;&gt;1,B20&lt;&gt;""),IF(AND(_Ped_TPN_SST1Keuze&lt;&gt;2,_Ped_TPN_SST1Keuze&lt;&gt;6,_Ped_TPN_SST1Keuze&lt;&gt;8,_Ped_TPN_SST1Keuze&lt;11),ROUND(PedBerTPN!F6,0),""),"")</f>
        <v/>
      </c>
      <c r="H21" s="33"/>
    </row>
    <row r="22" spans="1:8" ht="15.95" customHeight="1" x14ac:dyDescent="0.35">
      <c r="A22" s="32"/>
      <c r="B22" s="42"/>
      <c r="C22" s="42"/>
      <c r="D22" s="42"/>
      <c r="E22" s="903" t="s">
        <v>237</v>
      </c>
      <c r="F22" s="903"/>
      <c r="G22" s="67">
        <f>SUM(G14:G21)</f>
        <v>0</v>
      </c>
      <c r="H22" s="65"/>
    </row>
    <row r="23" spans="1:8" ht="10.5" customHeight="1" x14ac:dyDescent="0.35">
      <c r="A23" s="32"/>
      <c r="B23" s="37"/>
      <c r="C23" s="37"/>
      <c r="D23" s="37"/>
      <c r="E23" s="37"/>
      <c r="F23" s="37"/>
      <c r="G23" s="37"/>
      <c r="H23" s="33"/>
    </row>
    <row r="24" spans="1:8" ht="20.100000000000001" customHeight="1" x14ac:dyDescent="0.35">
      <c r="A24" s="897" t="str">
        <f>IF(G27&gt;0,ROUND(G27/24,1)&amp;" ml/u","")</f>
        <v/>
      </c>
      <c r="B24" s="72" t="s">
        <v>215</v>
      </c>
      <c r="C24" s="73"/>
      <c r="D24" s="73" t="s">
        <v>412</v>
      </c>
      <c r="E24" s="73" t="s">
        <v>413</v>
      </c>
      <c r="F24" s="74" t="s">
        <v>195</v>
      </c>
      <c r="G24" s="75">
        <f>ROUND(PedBerTPN!F13,0)</f>
        <v>0</v>
      </c>
      <c r="H24" s="38"/>
    </row>
    <row r="25" spans="1:8" ht="20.100000000000001" customHeight="1" x14ac:dyDescent="0.35">
      <c r="A25" s="898"/>
      <c r="B25" s="76" t="s">
        <v>216</v>
      </c>
      <c r="C25" s="77"/>
      <c r="D25" s="77"/>
      <c r="E25" s="921" t="s">
        <v>397</v>
      </c>
      <c r="F25" s="922"/>
      <c r="G25" s="75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21" t="s">
        <v>397</v>
      </c>
      <c r="F26" s="922"/>
      <c r="G26" s="75">
        <f>ROUND(PedBerTPN!F15,0)</f>
        <v>0</v>
      </c>
      <c r="H26" s="33"/>
    </row>
    <row r="27" spans="1:8" ht="15.95" customHeight="1" x14ac:dyDescent="0.35">
      <c r="A27" s="32"/>
      <c r="B27" s="37"/>
      <c r="C27" s="37"/>
      <c r="D27" s="37"/>
      <c r="E27" s="903" t="s">
        <v>237</v>
      </c>
      <c r="F27" s="903"/>
      <c r="G27" s="69">
        <f>SUM(G24:G26)</f>
        <v>0</v>
      </c>
      <c r="H27" s="65"/>
    </row>
    <row r="28" spans="1:8" ht="10.5" customHeight="1" thickBot="1" x14ac:dyDescent="0.4">
      <c r="A28" s="32"/>
      <c r="B28" s="37"/>
      <c r="C28" s="37"/>
      <c r="D28" s="37"/>
      <c r="E28" s="37"/>
      <c r="F28" s="37"/>
      <c r="G28" s="37"/>
      <c r="H28" s="33"/>
    </row>
    <row r="29" spans="1:8" ht="15.95" customHeight="1" thickTop="1" x14ac:dyDescent="0.35">
      <c r="A29" s="39"/>
      <c r="B29" s="919" t="s">
        <v>127</v>
      </c>
      <c r="C29" s="920"/>
      <c r="D29" s="920"/>
      <c r="E29" s="920"/>
      <c r="F29" s="920"/>
      <c r="G29" s="60"/>
      <c r="H29" s="40"/>
    </row>
    <row r="30" spans="1:8" ht="20.100000000000001" customHeight="1" x14ac:dyDescent="0.35">
      <c r="A30" s="897" t="str">
        <f>IF(G33&gt;0,ROUND(G39/24,1)&amp;" ml/u","")</f>
        <v/>
      </c>
      <c r="B30" s="83" t="s">
        <v>34</v>
      </c>
      <c r="C30" s="85"/>
      <c r="D30" s="85"/>
      <c r="E30" s="85"/>
      <c r="F30" s="89"/>
      <c r="G30" s="90">
        <f>IF(AND(OR(_Ped_TPN_Keuze=1,AND(_Ped_TPN_Keuze=2,_Ped_TPN_SST1Keuze&gt;10))),ROUND(PedBerTPN!F7,0),0)</f>
        <v>0</v>
      </c>
      <c r="H30" s="33"/>
    </row>
    <row r="31" spans="1:8" ht="20.100000000000001" customHeight="1" x14ac:dyDescent="0.35">
      <c r="A31" s="898"/>
      <c r="B31" s="84" t="s">
        <v>433</v>
      </c>
      <c r="C31" s="87"/>
      <c r="D31" s="87"/>
      <c r="E31" s="87"/>
      <c r="F31" s="91"/>
      <c r="G31" s="92">
        <f>IF(AND(OR(_Ped_TPN_Keuze=1,AND(_Ped_TPN_Keuze=2,_Ped_TPN_SST1Keuze&gt;10))),ROUND(PedBerTPN!F8,0),0)</f>
        <v>0</v>
      </c>
      <c r="H31" s="33"/>
    </row>
    <row r="32" spans="1:8" ht="20.100000000000001" customHeight="1" x14ac:dyDescent="0.35">
      <c r="A32" s="62"/>
      <c r="B32" s="84" t="s">
        <v>453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454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327</v>
      </c>
      <c r="C34" s="87"/>
      <c r="D34" s="87"/>
      <c r="E34" s="87"/>
      <c r="F34" s="91"/>
      <c r="G34" s="92">
        <f>PedBerTPN!F17+IF(AND(_Ped_TPN_SST1Keuze=2,_Ped_TPN_Keuze=1),ROUND(PedBerTPN!F6,0),0)</f>
        <v>0</v>
      </c>
      <c r="H34" s="33"/>
    </row>
    <row r="35" spans="1:8" ht="20.100000000000001" customHeight="1" x14ac:dyDescent="0.35">
      <c r="A35" s="32"/>
      <c r="B35" s="84" t="str">
        <f>IF(AND(OR(_Ped_TPN_Keuze=1,AND(_Ped_TPN_Keuze=2,_Ped_TPN_SST1Keuze&gt;10)),_Ped_TPN_SST1Keuze&lt;&gt;2,_Ped_TPN_SST1Keuze&lt;&gt;11,_Ped_TPN_SST1Keuze&lt;&gt;12,_Ped_TPN_SST1Keuze&lt;&gt;13),INDEX(tblSSTGlucose,_Ped_TPN_SST1Keuze,1),"Glucose       %")</f>
        <v>Glucose 5%</v>
      </c>
      <c r="C35" s="87"/>
      <c r="D35" s="87"/>
      <c r="E35" s="87"/>
      <c r="F35" s="91"/>
      <c r="G35" s="92">
        <f>IF(AND(OR(_Ped_TPN_Keuze=1,AND(_Ped_TPN_Keuze=2,_Ped_TPN_SST1Keuze&gt;10)),_Ped_TPN_SST1Keuze&lt;&gt;2,_Ped_TPN_SST1Keuze&lt;&gt;11,_Ped_TPN_SST1Keuze&lt;&gt;12,_Ped_TPN_SST1Keuze&lt;&gt;13),ROUND(PedBerTPN!F6,0),"")</f>
        <v>0</v>
      </c>
      <c r="H35" s="33"/>
    </row>
    <row r="36" spans="1:8" ht="20.100000000000001" customHeight="1" x14ac:dyDescent="0.35">
      <c r="A36" s="32"/>
      <c r="B36" s="929" t="s">
        <v>434</v>
      </c>
      <c r="C36" s="930"/>
      <c r="D36" s="930"/>
      <c r="E36" s="930"/>
      <c r="F36" s="91"/>
      <c r="G36" s="92" t="str">
        <f>IF(OR(_Ped_TPN_SST1Keuze=11),ROUND(PedBerTPN!F6,0),"")</f>
        <v/>
      </c>
      <c r="H36" s="33"/>
    </row>
    <row r="37" spans="1:8" ht="20.100000000000001" customHeight="1" x14ac:dyDescent="0.35">
      <c r="A37" s="32"/>
      <c r="B37" s="929" t="s">
        <v>35</v>
      </c>
      <c r="C37" s="930"/>
      <c r="D37" s="930"/>
      <c r="E37" s="930"/>
      <c r="F37" s="91"/>
      <c r="G37" s="92" t="str">
        <f>IF(AND(_Ped_TPN_SST1Keuze=12),ROUND(PedBerTPN!F6,0),"")</f>
        <v/>
      </c>
      <c r="H37" s="33"/>
    </row>
    <row r="38" spans="1:8" ht="20.100000000000001" customHeight="1" x14ac:dyDescent="0.35">
      <c r="A38" s="32"/>
      <c r="B38" s="929" t="s">
        <v>36</v>
      </c>
      <c r="C38" s="930"/>
      <c r="D38" s="930"/>
      <c r="E38" s="930"/>
      <c r="F38" s="89"/>
      <c r="G38" s="92" t="str">
        <f>IF(AND(_Ped_TPN_SST1Keuze=13),ROUND(PedBerTPN!F6,0),"")</f>
        <v/>
      </c>
      <c r="H38" s="33"/>
    </row>
    <row r="39" spans="1:8" ht="15.95" customHeight="1" x14ac:dyDescent="0.35">
      <c r="A39" s="32"/>
      <c r="B39" s="37"/>
      <c r="C39" s="37"/>
      <c r="D39" s="37"/>
      <c r="E39" s="903" t="s">
        <v>239</v>
      </c>
      <c r="F39" s="903"/>
      <c r="G39" s="68">
        <f>SUM(G30:G38)</f>
        <v>0</v>
      </c>
      <c r="H39" s="33"/>
    </row>
    <row r="40" spans="1:8" ht="10.5" customHeight="1" thickBot="1" x14ac:dyDescent="0.4">
      <c r="A40" s="32"/>
      <c r="B40" s="37"/>
      <c r="C40" s="37"/>
      <c r="D40" s="37"/>
      <c r="E40" s="37"/>
      <c r="F40" s="37"/>
      <c r="G40" s="37"/>
      <c r="H40" s="33"/>
    </row>
    <row r="41" spans="1:8" ht="15.95" customHeight="1" thickTop="1" x14ac:dyDescent="0.35">
      <c r="A41" s="39"/>
      <c r="B41" s="923" t="s">
        <v>268</v>
      </c>
      <c r="C41" s="924"/>
      <c r="D41" s="924"/>
      <c r="E41" s="924"/>
      <c r="F41" s="925"/>
      <c r="G41" s="40" t="s">
        <v>269</v>
      </c>
      <c r="H41" s="40"/>
    </row>
    <row r="42" spans="1:8" ht="15.95" customHeight="1" x14ac:dyDescent="0.35">
      <c r="A42" s="41"/>
      <c r="B42" s="926" t="s">
        <v>270</v>
      </c>
      <c r="C42" s="927"/>
      <c r="D42" s="927"/>
      <c r="E42" s="927"/>
      <c r="F42" s="928"/>
      <c r="G42" s="35" t="s">
        <v>271</v>
      </c>
      <c r="H42" s="33"/>
    </row>
    <row r="43" spans="1:8" ht="15.95" customHeight="1" x14ac:dyDescent="0.35">
      <c r="A43" s="41"/>
      <c r="B43" s="926" t="s">
        <v>272</v>
      </c>
      <c r="C43" s="927"/>
      <c r="D43" s="927"/>
      <c r="E43" s="927"/>
      <c r="F43" s="928"/>
      <c r="G43" s="35" t="s">
        <v>269</v>
      </c>
      <c r="H43" s="36"/>
    </row>
    <row r="45" spans="1:8" x14ac:dyDescent="0.35">
      <c r="A45" s="9" t="s">
        <v>273</v>
      </c>
    </row>
    <row r="46" spans="1:8" x14ac:dyDescent="0.35">
      <c r="A46" s="9" t="s">
        <v>238</v>
      </c>
    </row>
    <row r="47" spans="1:8" x14ac:dyDescent="0.35">
      <c r="A47" s="9" t="s">
        <v>274</v>
      </c>
    </row>
    <row r="49" spans="1:6" x14ac:dyDescent="0.35">
      <c r="A49" s="9" t="s">
        <v>85</v>
      </c>
    </row>
    <row r="51" spans="1:6" ht="13.2" x14ac:dyDescent="0.4">
      <c r="F51" s="3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9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112</v>
      </c>
    </row>
    <row r="3" spans="1:8" x14ac:dyDescent="0.35">
      <c r="A3" s="9" t="s">
        <v>276</v>
      </c>
      <c r="B3" s="43">
        <f ca="1">TODAY()</f>
        <v>42736</v>
      </c>
      <c r="F3" s="51">
        <f>__0_PatNum</f>
        <v>123456</v>
      </c>
      <c r="G3" s="52"/>
      <c r="H3" s="53"/>
    </row>
    <row r="4" spans="1:8" x14ac:dyDescent="0.35">
      <c r="A4" s="248" t="s">
        <v>550</v>
      </c>
      <c r="B4" s="9" t="str">
        <f>__1_Bed</f>
        <v>Unit 1.2</v>
      </c>
      <c r="F4" s="54" t="str">
        <f>__2_AchterNaam&amp;",  "&amp;__3_VoorNaam</f>
        <v>Test,  Test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42736</v>
      </c>
      <c r="G5" s="55"/>
      <c r="H5" s="56"/>
    </row>
    <row r="6" spans="1:8" x14ac:dyDescent="0.35">
      <c r="A6" s="595"/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10" spans="1:8" ht="13.2" thickBot="1" x14ac:dyDescent="0.4">
      <c r="A10" s="9" t="s">
        <v>386</v>
      </c>
      <c r="C10" s="9">
        <f>PedBerTPN!F24</f>
        <v>0</v>
      </c>
      <c r="D10" s="9" t="s">
        <v>346</v>
      </c>
    </row>
    <row r="11" spans="1:8" ht="13.2" thickTop="1" x14ac:dyDescent="0.35">
      <c r="A11" s="910" t="s">
        <v>16</v>
      </c>
      <c r="B11" s="911"/>
      <c r="C11" s="911"/>
      <c r="D11" s="911"/>
      <c r="E11" s="911"/>
      <c r="F11" s="911"/>
      <c r="G11" s="911"/>
      <c r="H11" s="912"/>
    </row>
    <row r="12" spans="1:8" ht="25.65" x14ac:dyDescent="0.35">
      <c r="A12" s="32" t="s">
        <v>332</v>
      </c>
      <c r="B12" s="913" t="s">
        <v>186</v>
      </c>
      <c r="C12" s="915"/>
      <c r="D12" s="917" t="s">
        <v>187</v>
      </c>
      <c r="E12" s="917" t="s">
        <v>188</v>
      </c>
      <c r="F12" s="917" t="s">
        <v>189</v>
      </c>
      <c r="G12" s="33"/>
      <c r="H12" s="33" t="s">
        <v>190</v>
      </c>
    </row>
    <row r="13" spans="1:8" x14ac:dyDescent="0.35">
      <c r="A13" s="34" t="s">
        <v>191</v>
      </c>
      <c r="B13" s="914"/>
      <c r="C13" s="916"/>
      <c r="D13" s="918"/>
      <c r="E13" s="918"/>
      <c r="F13" s="918"/>
      <c r="G13" s="33" t="s">
        <v>192</v>
      </c>
      <c r="H13" s="35" t="s">
        <v>193</v>
      </c>
    </row>
    <row r="14" spans="1:8" ht="20.100000000000001" customHeight="1" x14ac:dyDescent="0.35">
      <c r="A14" s="899" t="str">
        <f>IF(_Ped_TPN_Keuze&lt;&gt;1,ROUND(G22/24,1)&amp;"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IF(AND(_Ped_TPN_Keuze&lt;&gt;1,G16&lt;&gt;0),ROUND(PedBerTPN!F7,0),"")</f>
        <v/>
      </c>
      <c r="H14" s="33"/>
    </row>
    <row r="15" spans="1:8" ht="20.100000000000001" customHeight="1" x14ac:dyDescent="0.35">
      <c r="A15" s="900"/>
      <c r="B15" s="76" t="s">
        <v>430</v>
      </c>
      <c r="C15" s="77"/>
      <c r="D15" s="77" t="s">
        <v>435</v>
      </c>
      <c r="E15" s="77" t="s">
        <v>44</v>
      </c>
      <c r="F15" s="78" t="s">
        <v>44</v>
      </c>
      <c r="G15" s="75" t="str">
        <f>IF(AND(_Ped_TPN_Keuze&lt;&gt;1,G16&lt;&gt;0),ROUND(PedBerTPN!F8,0),"")</f>
        <v/>
      </c>
      <c r="H15" s="33"/>
    </row>
    <row r="16" spans="1:8" ht="20.100000000000001" customHeight="1" x14ac:dyDescent="0.35">
      <c r="A16" s="32"/>
      <c r="B16" s="76" t="s">
        <v>444</v>
      </c>
      <c r="C16" s="77"/>
      <c r="D16" s="77" t="s">
        <v>413</v>
      </c>
      <c r="E16" s="77" t="s">
        <v>195</v>
      </c>
      <c r="F16" s="78" t="s">
        <v>437</v>
      </c>
      <c r="G16" s="79" t="str">
        <f>IF(_Ped_TPN_Keuze&lt;&gt;1,PedBerTPN!F4,"")</f>
        <v/>
      </c>
      <c r="H16" s="33"/>
    </row>
    <row r="17" spans="1:8" ht="20.100000000000001" customHeight="1" x14ac:dyDescent="0.35">
      <c r="A17" s="32"/>
      <c r="B17" s="76" t="s">
        <v>334</v>
      </c>
      <c r="C17" s="77"/>
      <c r="D17" s="77"/>
      <c r="E17" s="921" t="s">
        <v>144</v>
      </c>
      <c r="F17" s="922"/>
      <c r="G17" s="79">
        <f>ROUND(PedBerTPN!F5,0)</f>
        <v>0</v>
      </c>
      <c r="H17" s="33"/>
    </row>
    <row r="18" spans="1:8" ht="20.100000000000001" customHeight="1" x14ac:dyDescent="0.35">
      <c r="A18" s="32"/>
      <c r="B18" s="76" t="s">
        <v>327</v>
      </c>
      <c r="C18" s="77"/>
      <c r="D18" s="77" t="s">
        <v>145</v>
      </c>
      <c r="E18" s="77"/>
      <c r="F18" s="78"/>
      <c r="G18" s="79" t="str">
        <f>IF(AND(_Ped_TPN_SST1Keuze=2,_Ped_TPN_Keuze&lt;&gt;1),ROUND(PedBerTPN!F6,0),"")</f>
        <v/>
      </c>
      <c r="H18" s="33"/>
    </row>
    <row r="19" spans="1:8" ht="20.100000000000001" customHeight="1" x14ac:dyDescent="0.35">
      <c r="A19" s="32"/>
      <c r="B19" s="76" t="s">
        <v>100</v>
      </c>
      <c r="C19" s="77"/>
      <c r="D19" s="77"/>
      <c r="E19" s="77" t="s">
        <v>146</v>
      </c>
      <c r="F19" s="78"/>
      <c r="G19" s="79" t="str">
        <f>IF(AND(_Ped_TPN_SST1Keuze=6,_Ped_TPN_Keuze&lt;&gt;1),ROUND(PedBerTPN!F6,0),"")</f>
        <v/>
      </c>
      <c r="H19" s="33"/>
    </row>
    <row r="20" spans="1:8" ht="20.100000000000001" customHeight="1" x14ac:dyDescent="0.35">
      <c r="A20" s="32"/>
      <c r="B20" s="76" t="s">
        <v>235</v>
      </c>
      <c r="C20" s="77"/>
      <c r="D20" s="77"/>
      <c r="E20" s="77"/>
      <c r="F20" s="78" t="s">
        <v>147</v>
      </c>
      <c r="G20" s="79" t="str">
        <f>IF(AND(_Ped_TPN_SST1Keuze=8,_Ped_TPN_Keuze&lt;&gt;1),ROUND(PedBerTPN!F6,0),"")</f>
        <v/>
      </c>
      <c r="H20" s="33"/>
    </row>
    <row r="21" spans="1:8" ht="20.100000000000001" customHeight="1" x14ac:dyDescent="0.35">
      <c r="A21" s="32"/>
      <c r="B21" s="76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7"/>
      <c r="D21" s="77"/>
      <c r="E21" s="77"/>
      <c r="F21" s="78"/>
      <c r="G21" s="79" t="str">
        <f>IF(AND(_Ped_TPN_Keuze&lt;&gt;1,B20&lt;&gt;""),IF(AND(_Ped_TPN_SST1Keuze&lt;&gt;2,_Ped_TPN_SST1Keuze&lt;&gt;6,_Ped_TPN_SST1Keuze&lt;&gt;8,_Ped_TPN_SST1Keuze&lt;11),ROUND(PedBerTPN!F6,0),""),"")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06" t="s">
        <v>237</v>
      </c>
      <c r="F22" s="906"/>
      <c r="G22" s="67">
        <f>SUM(G14:G21)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899" t="str">
        <f>IF(_Ped_TPN_Keuze&lt;&gt;1,ROUND(G27/24,1)&amp;" ml/u","")</f>
        <v/>
      </c>
      <c r="B24" s="72" t="s">
        <v>215</v>
      </c>
      <c r="C24" s="73"/>
      <c r="D24" s="73" t="s">
        <v>412</v>
      </c>
      <c r="E24" s="73" t="s">
        <v>413</v>
      </c>
      <c r="F24" s="74" t="s">
        <v>195</v>
      </c>
      <c r="G24" s="75">
        <f>ROUND(PedBerTPN!F13,0)</f>
        <v>0</v>
      </c>
      <c r="H24" s="38"/>
    </row>
    <row r="25" spans="1:8" ht="20.100000000000001" customHeight="1" x14ac:dyDescent="0.35">
      <c r="A25" s="900"/>
      <c r="B25" s="76" t="s">
        <v>216</v>
      </c>
      <c r="C25" s="77"/>
      <c r="D25" s="77"/>
      <c r="E25" s="921" t="s">
        <v>397</v>
      </c>
      <c r="F25" s="922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21" t="s">
        <v>397</v>
      </c>
      <c r="F26" s="922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06" t="s">
        <v>237</v>
      </c>
      <c r="F27" s="906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01" t="s">
        <v>127</v>
      </c>
      <c r="C29" s="902"/>
      <c r="D29" s="902"/>
      <c r="E29" s="902"/>
      <c r="F29" s="902"/>
      <c r="G29" s="60"/>
      <c r="H29" s="40"/>
    </row>
    <row r="30" spans="1:8" ht="20.100000000000001" customHeight="1" x14ac:dyDescent="0.35">
      <c r="A30" s="899" t="str">
        <f>ROUND(G38/24,1)&amp;" ml/u"</f>
        <v>0 ml/u</v>
      </c>
      <c r="B30" s="83" t="s">
        <v>34</v>
      </c>
      <c r="C30" s="85"/>
      <c r="D30" s="85"/>
      <c r="E30" s="85"/>
      <c r="F30" s="86"/>
      <c r="G30" s="90">
        <f>IF(AND(OR(_Ped_TPN_Keuze=1,AND(_Ped_TPN_Keuze=2,_Ped_TPN_SST1Keuze&gt;10))),ROUND(PedBerTPN!F7,0),"")</f>
        <v>0</v>
      </c>
      <c r="H30" s="33"/>
    </row>
    <row r="31" spans="1:8" ht="20.100000000000001" customHeight="1" x14ac:dyDescent="0.35">
      <c r="A31" s="900"/>
      <c r="B31" s="84" t="s">
        <v>433</v>
      </c>
      <c r="C31" s="87"/>
      <c r="D31" s="87"/>
      <c r="E31" s="87"/>
      <c r="F31" s="88"/>
      <c r="G31" s="92">
        <f>IF(AND(OR(_Ped_TPN_Keuze=1,AND(_Ped_TPN_Keuze=2,_Ped_TPN_SST1Keuze&gt;10))),ROUND(PedBerTPN!F8,0),"")</f>
        <v>0</v>
      </c>
      <c r="H31" s="33"/>
    </row>
    <row r="32" spans="1:8" ht="20.100000000000001" customHeight="1" x14ac:dyDescent="0.35">
      <c r="A32" s="62"/>
      <c r="B32" s="84" t="s">
        <v>453</v>
      </c>
      <c r="C32" s="87"/>
      <c r="D32" s="87"/>
      <c r="E32" s="87"/>
      <c r="F32" s="88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454</v>
      </c>
      <c r="C33" s="87"/>
      <c r="D33" s="87"/>
      <c r="E33" s="87"/>
      <c r="F33" s="88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327</v>
      </c>
      <c r="C34" s="87"/>
      <c r="D34" s="87"/>
      <c r="E34" s="87"/>
      <c r="F34" s="88"/>
      <c r="G34" s="92">
        <f>PedBerTPN!F17+IF(AND(_Ped_TPN_SST1Keuze=2,_Ped_TPN_Keuze=1),ROUND(PedBerTPN!F6,0),0)</f>
        <v>0</v>
      </c>
      <c r="H34" s="33"/>
    </row>
    <row r="35" spans="1:8" ht="20.100000000000001" customHeight="1" x14ac:dyDescent="0.35">
      <c r="A35" s="62"/>
      <c r="B35" s="84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7"/>
      <c r="D35" s="87"/>
      <c r="E35" s="87"/>
      <c r="F35" s="88"/>
      <c r="G35" s="92">
        <f>IF(AND(OR(_Ped_TPN_Keuze=1,AND(_Ped_TPN_Keuze=2,_Ped_TPN_SST1Keuze&gt;10)),_Ped_TPN_SST1Keuze&lt;&gt;2,_Ped_TPN_SST1Keuze&lt;&gt;12,_Ped_TPN_SST1Keuze&lt;&gt;13),ROUND(PedBerTPN!F6,0),"")</f>
        <v>0</v>
      </c>
      <c r="H35" s="33"/>
    </row>
    <row r="36" spans="1:8" ht="20.100000000000001" customHeight="1" x14ac:dyDescent="0.35">
      <c r="A36" s="62"/>
      <c r="B36" s="929" t="s">
        <v>35</v>
      </c>
      <c r="C36" s="930"/>
      <c r="D36" s="930"/>
      <c r="E36" s="930"/>
      <c r="F36" s="88"/>
      <c r="G36" s="92" t="str">
        <f>IF(AND(_Ped_TPN_SST1Keuze=12),ROUND(PedBerTPN!F6,0),"")</f>
        <v/>
      </c>
      <c r="H36" s="33"/>
    </row>
    <row r="37" spans="1:8" ht="20.100000000000001" customHeight="1" x14ac:dyDescent="0.35">
      <c r="A37" s="32"/>
      <c r="B37" s="929" t="s">
        <v>36</v>
      </c>
      <c r="C37" s="930"/>
      <c r="D37" s="930"/>
      <c r="E37" s="930"/>
      <c r="F37" s="88"/>
      <c r="G37" s="92" t="str">
        <f>IF(AND(_Ped_TPN_SST1Keuze=13),ROUND(PedBerTPN!F6,0),"")</f>
        <v/>
      </c>
      <c r="H37" s="33"/>
    </row>
    <row r="38" spans="1:8" ht="15.95" customHeight="1" x14ac:dyDescent="0.35">
      <c r="A38" s="32"/>
      <c r="B38" s="64"/>
      <c r="C38" s="64"/>
      <c r="D38" s="64"/>
      <c r="E38" s="906" t="s">
        <v>239</v>
      </c>
      <c r="F38" s="906"/>
      <c r="G38" s="68">
        <f>SUM(G30:G37)</f>
        <v>0</v>
      </c>
      <c r="H38" s="33"/>
    </row>
    <row r="39" spans="1:8" ht="15.95" customHeight="1" thickBot="1" x14ac:dyDescent="0.4">
      <c r="A39" s="32"/>
      <c r="B39" s="64"/>
      <c r="C39" s="64"/>
      <c r="D39" s="64"/>
      <c r="E39" s="64"/>
      <c r="F39" s="64"/>
      <c r="G39" s="37"/>
      <c r="H39" s="33"/>
    </row>
    <row r="40" spans="1:8" ht="15.95" customHeight="1" thickTop="1" x14ac:dyDescent="0.35">
      <c r="A40" s="39"/>
      <c r="B40" s="907" t="s">
        <v>268</v>
      </c>
      <c r="C40" s="908"/>
      <c r="D40" s="908"/>
      <c r="E40" s="908"/>
      <c r="F40" s="909"/>
      <c r="G40" s="40" t="s">
        <v>269</v>
      </c>
      <c r="H40" s="40"/>
    </row>
    <row r="41" spans="1:8" ht="15.95" customHeight="1" x14ac:dyDescent="0.35">
      <c r="A41" s="41"/>
      <c r="B41" s="894" t="s">
        <v>270</v>
      </c>
      <c r="C41" s="895"/>
      <c r="D41" s="895"/>
      <c r="E41" s="895"/>
      <c r="F41" s="896"/>
      <c r="G41" s="35" t="s">
        <v>271</v>
      </c>
      <c r="H41" s="33"/>
    </row>
    <row r="42" spans="1:8" ht="15.95" customHeight="1" x14ac:dyDescent="0.35">
      <c r="A42" s="41"/>
      <c r="B42" s="894" t="s">
        <v>272</v>
      </c>
      <c r="C42" s="895"/>
      <c r="D42" s="895"/>
      <c r="E42" s="895"/>
      <c r="F42" s="896"/>
      <c r="G42" s="35" t="s">
        <v>269</v>
      </c>
      <c r="H42" s="36"/>
    </row>
    <row r="44" spans="1:8" x14ac:dyDescent="0.35">
      <c r="A44" s="9" t="s">
        <v>273</v>
      </c>
    </row>
    <row r="45" spans="1:8" x14ac:dyDescent="0.35">
      <c r="A45" s="9" t="s">
        <v>238</v>
      </c>
    </row>
    <row r="46" spans="1:8" x14ac:dyDescent="0.35">
      <c r="A46" s="9" t="s">
        <v>274</v>
      </c>
    </row>
    <row r="48" spans="1:8" x14ac:dyDescent="0.35">
      <c r="A48" s="9" t="s">
        <v>85</v>
      </c>
    </row>
    <row r="50" spans="6:6" ht="13.2" x14ac:dyDescent="0.4">
      <c r="F50" s="3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9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113</v>
      </c>
    </row>
    <row r="3" spans="1:8" x14ac:dyDescent="0.35">
      <c r="A3" s="9" t="s">
        <v>276</v>
      </c>
      <c r="B3" s="43">
        <f ca="1">TODAY()</f>
        <v>42736</v>
      </c>
      <c r="F3" s="51">
        <f>__0_PatNum</f>
        <v>123456</v>
      </c>
      <c r="G3" s="52"/>
      <c r="H3" s="53"/>
    </row>
    <row r="4" spans="1:8" x14ac:dyDescent="0.35">
      <c r="A4" s="248" t="s">
        <v>550</v>
      </c>
      <c r="B4" s="9" t="str">
        <f>__1_Bed</f>
        <v>Unit 1.2</v>
      </c>
      <c r="F4" s="54" t="str">
        <f>__2_AchterNaam&amp;",  "&amp;__3_VoorNaam</f>
        <v>Test,  Test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42736</v>
      </c>
      <c r="G5" s="55"/>
      <c r="H5" s="56"/>
    </row>
    <row r="6" spans="1:8" x14ac:dyDescent="0.35">
      <c r="A6" s="595"/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9" spans="1:8" ht="13.2" thickBot="1" x14ac:dyDescent="0.4">
      <c r="A9" s="9" t="s">
        <v>385</v>
      </c>
      <c r="C9" s="9">
        <f>PedBerTPN!F24</f>
        <v>0</v>
      </c>
      <c r="D9" s="9" t="s">
        <v>346</v>
      </c>
    </row>
    <row r="10" spans="1:8" ht="13.2" thickTop="1" x14ac:dyDescent="0.35">
      <c r="A10" s="910" t="s">
        <v>16</v>
      </c>
      <c r="B10" s="911"/>
      <c r="C10" s="911"/>
      <c r="D10" s="911"/>
      <c r="E10" s="911"/>
      <c r="F10" s="911"/>
      <c r="G10" s="911"/>
      <c r="H10" s="912"/>
    </row>
    <row r="11" spans="1:8" ht="25.65" x14ac:dyDescent="0.35">
      <c r="A11" s="32" t="s">
        <v>332</v>
      </c>
      <c r="B11" s="913" t="s">
        <v>186</v>
      </c>
      <c r="C11" s="915"/>
      <c r="D11" s="917" t="s">
        <v>187</v>
      </c>
      <c r="E11" s="917" t="s">
        <v>188</v>
      </c>
      <c r="F11" s="917" t="s">
        <v>189</v>
      </c>
      <c r="G11" s="33"/>
      <c r="H11" s="33" t="s">
        <v>190</v>
      </c>
    </row>
    <row r="12" spans="1:8" x14ac:dyDescent="0.35">
      <c r="A12" s="34" t="s">
        <v>191</v>
      </c>
      <c r="B12" s="914"/>
      <c r="C12" s="916"/>
      <c r="D12" s="918"/>
      <c r="E12" s="918"/>
      <c r="F12" s="918"/>
      <c r="G12" s="33" t="s">
        <v>192</v>
      </c>
      <c r="H12" s="35" t="s">
        <v>193</v>
      </c>
    </row>
    <row r="13" spans="1:8" ht="20.100000000000001" customHeight="1" x14ac:dyDescent="0.35">
      <c r="A13" s="899" t="str">
        <f>IF(G22&lt;&gt;0,ROUND(G22/24,1)&amp;" ml/u","")</f>
        <v/>
      </c>
      <c r="B13" s="72" t="s">
        <v>34</v>
      </c>
      <c r="C13" s="73"/>
      <c r="D13" s="73" t="s">
        <v>194</v>
      </c>
      <c r="E13" s="73" t="s">
        <v>194</v>
      </c>
      <c r="F13" s="74" t="s">
        <v>194</v>
      </c>
      <c r="G13" s="75" t="str">
        <f>IF(AND(_Ped_TPN_Keuze&lt;&gt;1,G15&lt;&gt;0),ROUND(PedBerTPN!F7,0),"")</f>
        <v/>
      </c>
      <c r="H13" s="33"/>
    </row>
    <row r="14" spans="1:8" ht="20.100000000000001" customHeight="1" x14ac:dyDescent="0.35">
      <c r="A14" s="900"/>
      <c r="B14" s="76" t="s">
        <v>430</v>
      </c>
      <c r="C14" s="77"/>
      <c r="D14" s="77" t="s">
        <v>435</v>
      </c>
      <c r="E14" s="77" t="s">
        <v>44</v>
      </c>
      <c r="F14" s="78" t="s">
        <v>44</v>
      </c>
      <c r="G14" s="75" t="str">
        <f>IF(AND(_Ped_TPN_Keuze&lt;&gt;1,G15&lt;&gt;0),ROUND(PedBerTPN!F8,0),"")</f>
        <v/>
      </c>
      <c r="H14" s="33"/>
    </row>
    <row r="15" spans="1:8" ht="20.100000000000001" customHeight="1" x14ac:dyDescent="0.35">
      <c r="A15" s="32"/>
      <c r="B15" s="76" t="s">
        <v>148</v>
      </c>
      <c r="C15" s="77"/>
      <c r="D15" s="77" t="s">
        <v>412</v>
      </c>
      <c r="E15" s="77" t="s">
        <v>149</v>
      </c>
      <c r="F15" s="78" t="s">
        <v>154</v>
      </c>
      <c r="G15" s="79" t="str">
        <f>IF(_Ped_TPN_Keuze&lt;&gt;1,PedBerTPN!F4,"")</f>
        <v/>
      </c>
      <c r="H15" s="33"/>
    </row>
    <row r="16" spans="1:8" ht="20.100000000000001" customHeight="1" x14ac:dyDescent="0.35">
      <c r="A16" s="32"/>
      <c r="B16" s="76" t="s">
        <v>334</v>
      </c>
      <c r="C16" s="77"/>
      <c r="D16" s="77"/>
      <c r="E16" s="921" t="s">
        <v>144</v>
      </c>
      <c r="F16" s="922"/>
      <c r="G16" s="79" t="str">
        <f>IF(AND(_Ped_TPN_SST1Keuze&lt;11,_Ped_TPN_Keuze&lt;&gt;1),ROUND(PedBerTPN!F5,0),"")</f>
        <v/>
      </c>
      <c r="H16" s="33"/>
    </row>
    <row r="17" spans="1:8" ht="20.100000000000001" customHeight="1" x14ac:dyDescent="0.35">
      <c r="A17" s="32"/>
      <c r="B17" s="76" t="s">
        <v>327</v>
      </c>
      <c r="C17" s="77"/>
      <c r="D17" s="77" t="s">
        <v>150</v>
      </c>
      <c r="E17" s="77"/>
      <c r="F17" s="78"/>
      <c r="G17" s="79" t="str">
        <f>IF(AND(_Ped_TPN_SST1Keuze=2,_Ped_TPN_Keuze&lt;&gt;1),ROUND(PedBerTPN!F6,0),"")</f>
        <v/>
      </c>
      <c r="H17" s="33"/>
    </row>
    <row r="18" spans="1:8" ht="20.100000000000001" customHeight="1" x14ac:dyDescent="0.35">
      <c r="A18" s="32"/>
      <c r="B18" s="76" t="s">
        <v>100</v>
      </c>
      <c r="C18" s="77"/>
      <c r="D18" s="77"/>
      <c r="E18" s="77" t="s">
        <v>151</v>
      </c>
      <c r="F18" s="78"/>
      <c r="G18" s="79" t="str">
        <f>IF(AND(_Ped_TPN_SST1Keuze=6,_Ped_TPN_Keuze&lt;&gt;1),ROUND(PedBerTPN!F6,0),"")</f>
        <v/>
      </c>
      <c r="H18" s="33"/>
    </row>
    <row r="19" spans="1:8" ht="20.100000000000001" customHeight="1" x14ac:dyDescent="0.35">
      <c r="A19" s="32"/>
      <c r="B19" s="76" t="s">
        <v>152</v>
      </c>
      <c r="C19" s="77" t="s">
        <v>258</v>
      </c>
      <c r="D19" s="77"/>
      <c r="E19" s="77"/>
      <c r="F19" s="78" t="s">
        <v>443</v>
      </c>
      <c r="G19" s="79" t="str">
        <f>IF(AND(_Ped_TPN_SST1Keuze=7,_Ped_TPN_Keuze&lt;&gt;1),ROUND(PedBerTPN!F6,0),"")</f>
        <v/>
      </c>
      <c r="H19" s="33"/>
    </row>
    <row r="20" spans="1:8" ht="20.100000000000001" customHeight="1" x14ac:dyDescent="0.35">
      <c r="A20" s="32"/>
      <c r="B20" s="76" t="s">
        <v>153</v>
      </c>
      <c r="C20" s="77"/>
      <c r="D20" s="77"/>
      <c r="E20" s="77"/>
      <c r="F20" s="78" t="s">
        <v>437</v>
      </c>
      <c r="G20" s="79" t="str">
        <f>IF(AND(_Ped_TPN_SST1Keuze=9,_Ped_TPN_Keuze&lt;&gt;1),ROUND(PedBerTPN!F6,0),"")</f>
        <v/>
      </c>
      <c r="H20" s="33"/>
    </row>
    <row r="21" spans="1:8" ht="20.100000000000001" customHeight="1" x14ac:dyDescent="0.35">
      <c r="A21" s="32"/>
      <c r="B21" s="80" t="str">
        <f>IF(AND(_Ped_TPN_Keuze=2,_Ped_TPN_SST1Keuze&lt;&gt;2,_Ped_TPN_SST1Keuze&lt;&gt;6,_Ped_TPN_SST1Keuze&lt;&gt;7,_Ped_TPN_SST1Keuze&lt;&gt;9,_Ped_TPN_SST1Keuze&lt;11),INDEX(tblSSTGlucose,_Ped_TPN_SST1Keuze,1),"Glucose       %")</f>
        <v>Glucose       %</v>
      </c>
      <c r="C21" s="81"/>
      <c r="D21" s="81"/>
      <c r="E21" s="81"/>
      <c r="F21" s="82"/>
      <c r="G21" s="79" t="str">
        <f>IF(AND(_Ped_TPN_Keuze&lt;&gt;1,B19&lt;&gt;""),IF(AND(_Ped_TPN_SST1Keuze&lt;&gt;2,_Ped_TPN_SST1Keuze&lt;&gt;6,_Ped_TPN_SST1Keuze&lt;&gt;7,_Ped_TPN_SST1Keuze&lt;&gt;9,_Ped_TPN_SST1Keuze&lt;11),ROUND(PedBerTPN!F6,0),""),"")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06" t="s">
        <v>237</v>
      </c>
      <c r="F22" s="906"/>
      <c r="G22" s="67">
        <f>SUM(G13:G21)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899" t="str">
        <f>IF(G27&lt;&gt;0,ROUND(G27/24,1)&amp;" ml/u","")</f>
        <v/>
      </c>
      <c r="B24" s="72" t="s">
        <v>215</v>
      </c>
      <c r="C24" s="73"/>
      <c r="D24" s="73" t="s">
        <v>384</v>
      </c>
      <c r="E24" s="73" t="s">
        <v>194</v>
      </c>
      <c r="F24" s="74" t="s">
        <v>413</v>
      </c>
      <c r="G24" s="75">
        <f>ROUND(PedBerTPN!F13,0)</f>
        <v>0</v>
      </c>
      <c r="H24" s="38"/>
    </row>
    <row r="25" spans="1:8" ht="20.100000000000001" customHeight="1" x14ac:dyDescent="0.35">
      <c r="A25" s="900"/>
      <c r="B25" s="76" t="s">
        <v>216</v>
      </c>
      <c r="C25" s="77"/>
      <c r="D25" s="77"/>
      <c r="E25" s="921" t="s">
        <v>397</v>
      </c>
      <c r="F25" s="922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21" t="s">
        <v>397</v>
      </c>
      <c r="F26" s="922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06" t="s">
        <v>237</v>
      </c>
      <c r="F27" s="906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19" t="s">
        <v>127</v>
      </c>
      <c r="C29" s="920"/>
      <c r="D29" s="920"/>
      <c r="E29" s="920"/>
      <c r="F29" s="920"/>
      <c r="G29" s="60"/>
      <c r="H29" s="40"/>
    </row>
    <row r="30" spans="1:8" ht="20.100000000000001" customHeight="1" x14ac:dyDescent="0.35">
      <c r="A30" s="899" t="str">
        <f>IF(G38&lt;&gt;0,ROUND(G38/24,1)&amp;" ml/u","")</f>
        <v/>
      </c>
      <c r="B30" s="83" t="s">
        <v>34</v>
      </c>
      <c r="C30" s="85"/>
      <c r="D30" s="85"/>
      <c r="E30" s="85"/>
      <c r="F30" s="89"/>
      <c r="G30" s="90">
        <f>IF(AND(OR(_Ped_TPN_Keuze=1,AND(_Ped_TPN_Keuze=2,_Ped_TPN_SST1Keuze&gt;10))),ROUND(PedBerTPN!F7,0),"")</f>
        <v>0</v>
      </c>
      <c r="H30" s="33"/>
    </row>
    <row r="31" spans="1:8" ht="20.100000000000001" customHeight="1" x14ac:dyDescent="0.35">
      <c r="A31" s="900"/>
      <c r="B31" s="84" t="s">
        <v>433</v>
      </c>
      <c r="C31" s="87"/>
      <c r="D31" s="87"/>
      <c r="E31" s="87"/>
      <c r="F31" s="91"/>
      <c r="G31" s="92">
        <f>IF(AND(OR(_Ped_TPN_Keuze=1,AND(_Ped_TPN_Keuze=2,_Ped_TPN_SST1Keuze&gt;10))),ROUND(PedBerTPN!F8,0),"")</f>
        <v>0</v>
      </c>
      <c r="H31" s="33"/>
    </row>
    <row r="32" spans="1:8" ht="20.100000000000001" customHeight="1" x14ac:dyDescent="0.35">
      <c r="A32" s="62"/>
      <c r="B32" s="84" t="s">
        <v>453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454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327</v>
      </c>
      <c r="C34" s="87"/>
      <c r="D34" s="87"/>
      <c r="E34" s="87"/>
      <c r="F34" s="91"/>
      <c r="G34" s="92">
        <f>PedBerTPN!F17+IF(AND(_Ped_TPN_SST1Keuze=2,_Ped_TPN_Keuze=1),ROUND(PedBerTPN!F6,0),0)</f>
        <v>0</v>
      </c>
      <c r="H34" s="33"/>
    </row>
    <row r="35" spans="1:8" ht="20.100000000000001" customHeight="1" x14ac:dyDescent="0.35">
      <c r="A35" s="62"/>
      <c r="B35" s="84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7"/>
      <c r="D35" s="87"/>
      <c r="E35" s="87"/>
      <c r="F35" s="91"/>
      <c r="G35" s="92">
        <f>IF(AND(OR(_Ped_TPN_Keuze=1,AND(_Ped_TPN_Keuze=2,_Ped_TPN_SST1Keuze&gt;10)),_Ped_TPN_SST1Keuze&lt;&gt;2,_Ped_TPN_SST1Keuze&lt;&gt;12,_Ped_TPN_SST1Keuze&lt;&gt;13),PedBerTPN!F6,"")</f>
        <v>0</v>
      </c>
      <c r="H35" s="33"/>
    </row>
    <row r="36" spans="1:8" ht="20.100000000000001" customHeight="1" x14ac:dyDescent="0.35">
      <c r="A36" s="62"/>
      <c r="B36" s="929" t="s">
        <v>35</v>
      </c>
      <c r="C36" s="930"/>
      <c r="D36" s="930"/>
      <c r="E36" s="930"/>
      <c r="F36" s="91"/>
      <c r="G36" s="92" t="str">
        <f>IF(AND(_Ped_TPN_SST1Keuze=12),ROUND(PedBerTPN!F6,0),"")</f>
        <v/>
      </c>
      <c r="H36" s="33"/>
    </row>
    <row r="37" spans="1:8" ht="20.100000000000001" customHeight="1" x14ac:dyDescent="0.35">
      <c r="A37" s="32"/>
      <c r="B37" s="929" t="s">
        <v>36</v>
      </c>
      <c r="C37" s="930"/>
      <c r="D37" s="930"/>
      <c r="E37" s="930"/>
      <c r="F37" s="91"/>
      <c r="G37" s="92" t="str">
        <f>IF(AND(_Ped_TPN_SST1Keuze=13),ROUND(PedBerTPN!F6,0),"")</f>
        <v/>
      </c>
      <c r="H37" s="33"/>
    </row>
    <row r="38" spans="1:8" ht="15.95" customHeight="1" x14ac:dyDescent="0.35">
      <c r="A38" s="32"/>
      <c r="B38" s="37"/>
      <c r="C38" s="37"/>
      <c r="D38" s="37"/>
      <c r="E38" s="903" t="s">
        <v>239</v>
      </c>
      <c r="F38" s="903"/>
      <c r="G38" s="68">
        <f>SUM(G30:G37)</f>
        <v>0</v>
      </c>
      <c r="H38" s="33"/>
    </row>
    <row r="39" spans="1:8" ht="10.5" customHeight="1" thickBot="1" x14ac:dyDescent="0.4">
      <c r="A39" s="32"/>
      <c r="B39" s="37"/>
      <c r="C39" s="37"/>
      <c r="D39" s="37"/>
      <c r="E39" s="37"/>
      <c r="F39" s="37"/>
      <c r="G39" s="37"/>
      <c r="H39" s="33"/>
    </row>
    <row r="40" spans="1:8" ht="15.95" customHeight="1" thickTop="1" x14ac:dyDescent="0.35">
      <c r="A40" s="39"/>
      <c r="B40" s="907" t="s">
        <v>268</v>
      </c>
      <c r="C40" s="908"/>
      <c r="D40" s="908"/>
      <c r="E40" s="908"/>
      <c r="F40" s="909"/>
      <c r="G40" s="40" t="s">
        <v>269</v>
      </c>
      <c r="H40" s="40"/>
    </row>
    <row r="41" spans="1:8" ht="15.95" customHeight="1" x14ac:dyDescent="0.35">
      <c r="A41" s="41"/>
      <c r="B41" s="894" t="s">
        <v>270</v>
      </c>
      <c r="C41" s="895"/>
      <c r="D41" s="895"/>
      <c r="E41" s="895"/>
      <c r="F41" s="896"/>
      <c r="G41" s="35" t="s">
        <v>271</v>
      </c>
      <c r="H41" s="33"/>
    </row>
    <row r="42" spans="1:8" ht="15.95" customHeight="1" x14ac:dyDescent="0.35">
      <c r="A42" s="41"/>
      <c r="B42" s="894" t="s">
        <v>272</v>
      </c>
      <c r="C42" s="895"/>
      <c r="D42" s="895"/>
      <c r="E42" s="895"/>
      <c r="F42" s="896"/>
      <c r="G42" s="35" t="s">
        <v>269</v>
      </c>
      <c r="H42" s="36"/>
    </row>
    <row r="44" spans="1:8" x14ac:dyDescent="0.35">
      <c r="A44" s="9" t="s">
        <v>273</v>
      </c>
    </row>
    <row r="45" spans="1:8" x14ac:dyDescent="0.35">
      <c r="A45" s="9" t="s">
        <v>238</v>
      </c>
    </row>
    <row r="47" spans="1:8" x14ac:dyDescent="0.35">
      <c r="A47" s="9" t="s">
        <v>274</v>
      </c>
    </row>
    <row r="49" spans="1:6" x14ac:dyDescent="0.35">
      <c r="A49" s="9" t="s">
        <v>85</v>
      </c>
    </row>
    <row r="51" spans="1:6" ht="13.2" x14ac:dyDescent="0.4">
      <c r="F51" s="3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411</v>
      </c>
    </row>
    <row r="3" spans="1:8" x14ac:dyDescent="0.35">
      <c r="A3" s="9" t="s">
        <v>276</v>
      </c>
      <c r="B3" s="43">
        <f ca="1">TODAY()</f>
        <v>42736</v>
      </c>
      <c r="F3" s="51">
        <f>__0_PatNum</f>
        <v>123456</v>
      </c>
      <c r="G3" s="52"/>
      <c r="H3" s="53"/>
    </row>
    <row r="4" spans="1:8" x14ac:dyDescent="0.35">
      <c r="A4" s="248" t="s">
        <v>550</v>
      </c>
      <c r="B4" s="9" t="str">
        <f>__1_Bed</f>
        <v>Unit 1.2</v>
      </c>
      <c r="F4" s="54" t="str">
        <f>__2_AchterNaam&amp;",  "&amp;__3_VoorNaam</f>
        <v>Test,  Test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42736</v>
      </c>
      <c r="G5" s="55"/>
      <c r="H5" s="56"/>
    </row>
    <row r="6" spans="1:8" x14ac:dyDescent="0.35">
      <c r="A6" s="595"/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9" spans="1:8" ht="13.2" thickBot="1" x14ac:dyDescent="0.4">
      <c r="A9" s="9" t="str">
        <f>IF(_Pat_Gewicht/10&lt;7,"Tot. hoev. vocht* (150 ml/kg/24 uur):","Tot. hoev. vocht* (110-90 ml/kg/24 uur):")</f>
        <v>Tot. hoev. vocht* (110-90 ml/kg/24 uur):</v>
      </c>
      <c r="C9" s="9">
        <f>PedBerTPN!F24</f>
        <v>0</v>
      </c>
      <c r="D9" s="9" t="s">
        <v>346</v>
      </c>
    </row>
    <row r="10" spans="1:8" ht="13.2" thickTop="1" x14ac:dyDescent="0.35">
      <c r="A10" s="910" t="s">
        <v>16</v>
      </c>
      <c r="B10" s="911"/>
      <c r="C10" s="911"/>
      <c r="D10" s="911"/>
      <c r="E10" s="911"/>
      <c r="F10" s="911"/>
      <c r="G10" s="911"/>
      <c r="H10" s="912"/>
    </row>
    <row r="11" spans="1:8" ht="25.65" x14ac:dyDescent="0.35">
      <c r="A11" s="32" t="s">
        <v>332</v>
      </c>
      <c r="B11" s="913" t="s">
        <v>186</v>
      </c>
      <c r="C11" s="915"/>
      <c r="D11" s="917" t="s">
        <v>187</v>
      </c>
      <c r="E11" s="917" t="s">
        <v>188</v>
      </c>
      <c r="F11" s="917" t="s">
        <v>189</v>
      </c>
      <c r="G11" s="33"/>
      <c r="H11" s="33" t="s">
        <v>190</v>
      </c>
    </row>
    <row r="12" spans="1:8" x14ac:dyDescent="0.35">
      <c r="A12" s="34" t="s">
        <v>191</v>
      </c>
      <c r="B12" s="914"/>
      <c r="C12" s="916"/>
      <c r="D12" s="918"/>
      <c r="E12" s="918"/>
      <c r="F12" s="918"/>
      <c r="G12" s="33" t="s">
        <v>192</v>
      </c>
      <c r="H12" s="35" t="s">
        <v>193</v>
      </c>
    </row>
    <row r="13" spans="1:8" ht="20.100000000000001" customHeight="1" x14ac:dyDescent="0.35">
      <c r="A13" s="93" t="str">
        <f>IF(G15&lt;&gt;0,ROUND(G15/24,1)&amp;" ml/u","")</f>
        <v/>
      </c>
      <c r="B13" s="76" t="s">
        <v>76</v>
      </c>
      <c r="C13" s="77"/>
      <c r="D13" s="77" t="s">
        <v>77</v>
      </c>
      <c r="E13" s="77" t="s">
        <v>78</v>
      </c>
      <c r="F13" s="78" t="s">
        <v>79</v>
      </c>
      <c r="G13" s="98" t="str">
        <f>IF(_Ped_TPN_Keuze&lt;&gt;1,PedBerTPN!F4,"")</f>
        <v/>
      </c>
      <c r="H13" s="33"/>
    </row>
    <row r="14" spans="1:8" ht="20.100000000000001" customHeight="1" x14ac:dyDescent="0.35">
      <c r="A14" s="94"/>
      <c r="B14" s="76"/>
      <c r="C14" s="77"/>
      <c r="D14" s="77"/>
      <c r="E14" s="77"/>
      <c r="F14" s="78"/>
      <c r="G14" s="79"/>
      <c r="H14" s="33"/>
    </row>
    <row r="15" spans="1:8" ht="20.100000000000001" customHeight="1" x14ac:dyDescent="0.35">
      <c r="A15" s="32"/>
      <c r="B15" s="96"/>
      <c r="C15" s="96"/>
      <c r="D15" s="96"/>
      <c r="E15" s="96"/>
      <c r="F15" s="96" t="s">
        <v>239</v>
      </c>
      <c r="G15" s="97">
        <f>SUM(G13:G14)</f>
        <v>0</v>
      </c>
      <c r="H15" s="33"/>
    </row>
    <row r="16" spans="1:8" ht="20.100000000000001" customHeight="1" x14ac:dyDescent="0.35">
      <c r="A16" s="32"/>
      <c r="B16" s="77"/>
      <c r="C16" s="77"/>
      <c r="D16" s="77"/>
      <c r="E16" s="77"/>
      <c r="F16" s="77"/>
      <c r="G16" s="95"/>
      <c r="H16" s="33"/>
    </row>
    <row r="17" spans="1:8" ht="20.100000000000001" customHeight="1" x14ac:dyDescent="0.35">
      <c r="A17" s="94" t="str">
        <f>IF(G19&lt;&gt;0,ROUND(G19/24,1)&amp;" ml/u","")</f>
        <v/>
      </c>
      <c r="B17" s="76" t="s">
        <v>334</v>
      </c>
      <c r="C17" s="77"/>
      <c r="D17" s="77"/>
      <c r="E17" s="73"/>
      <c r="F17" s="74" t="s">
        <v>195</v>
      </c>
      <c r="G17" s="79">
        <f>IF(AND(OR(_Ped_TPN_SST1Keuze&lt;11,_Pat_Gewicht/10&gt;50),_Ped_TPN_Keuze&lt;&gt;1),ROUND(PedBerTPN!F5,0),0)</f>
        <v>0</v>
      </c>
      <c r="H17" s="33"/>
    </row>
    <row r="18" spans="1:8" ht="20.100000000000001" customHeight="1" x14ac:dyDescent="0.35">
      <c r="A18" s="32"/>
      <c r="B18" s="76" t="s">
        <v>327</v>
      </c>
      <c r="C18" s="77"/>
      <c r="D18" s="77"/>
      <c r="E18" s="77"/>
      <c r="F18" s="78" t="s">
        <v>75</v>
      </c>
      <c r="G18" s="79">
        <f>IF(G17&gt;0,100,0)</f>
        <v>0</v>
      </c>
      <c r="H18" s="33"/>
    </row>
    <row r="19" spans="1:8" ht="20.100000000000001" customHeight="1" x14ac:dyDescent="0.35">
      <c r="A19" s="32"/>
      <c r="B19" s="70"/>
      <c r="C19" s="70"/>
      <c r="D19" s="70"/>
      <c r="E19" s="906" t="s">
        <v>237</v>
      </c>
      <c r="F19" s="906"/>
      <c r="G19" s="67">
        <f>SUM(G17:G18)</f>
        <v>0</v>
      </c>
      <c r="H19" s="33"/>
    </row>
    <row r="20" spans="1:8" ht="20.100000000000001" customHeight="1" x14ac:dyDescent="0.35">
      <c r="A20" s="32"/>
      <c r="B20" s="64"/>
      <c r="C20" s="64"/>
      <c r="D20" s="64"/>
      <c r="E20" s="64"/>
      <c r="F20" s="64"/>
      <c r="G20" s="37"/>
      <c r="H20" s="33"/>
    </row>
    <row r="21" spans="1:8" ht="20.100000000000001" customHeight="1" x14ac:dyDescent="0.35">
      <c r="A21" s="32" t="str">
        <f>IF(G24&lt;&gt;0,ROUND(G24/24,1)&amp;" ml/u","")</f>
        <v/>
      </c>
      <c r="B21" s="72" t="s">
        <v>215</v>
      </c>
      <c r="C21" s="73"/>
      <c r="D21" s="73" t="s">
        <v>80</v>
      </c>
      <c r="E21" s="73" t="s">
        <v>81</v>
      </c>
      <c r="F21" s="74" t="s">
        <v>82</v>
      </c>
      <c r="G21" s="75">
        <f>ROUND(PedBerTPN!F13,0)</f>
        <v>0</v>
      </c>
      <c r="H21" s="33"/>
    </row>
    <row r="22" spans="1:8" ht="20.100000000000001" customHeight="1" x14ac:dyDescent="0.35">
      <c r="A22" s="32"/>
      <c r="B22" s="76" t="s">
        <v>216</v>
      </c>
      <c r="C22" s="77"/>
      <c r="D22" s="77"/>
      <c r="E22" s="73"/>
      <c r="F22" s="74" t="s">
        <v>83</v>
      </c>
      <c r="G22" s="79">
        <f>ROUND(PedBerTPN!F14,0)</f>
        <v>0</v>
      </c>
      <c r="H22" s="33"/>
    </row>
    <row r="23" spans="1:8" ht="20.100000000000001" customHeight="1" x14ac:dyDescent="0.35">
      <c r="A23" s="32"/>
      <c r="B23" s="76" t="s">
        <v>234</v>
      </c>
      <c r="C23" s="77"/>
      <c r="D23" s="77"/>
      <c r="E23" s="73"/>
      <c r="F23" s="74" t="s">
        <v>83</v>
      </c>
      <c r="G23" s="79">
        <f>ROUND(PedBerTPN!F15,0)</f>
        <v>0</v>
      </c>
      <c r="H23" s="33"/>
    </row>
    <row r="24" spans="1:8" ht="20.100000000000001" customHeight="1" x14ac:dyDescent="0.35">
      <c r="A24" s="32"/>
      <c r="B24" s="64"/>
      <c r="C24" s="64"/>
      <c r="D24" s="64"/>
      <c r="E24" s="906" t="s">
        <v>237</v>
      </c>
      <c r="F24" s="906"/>
      <c r="G24" s="69">
        <f>SUM(G21:G23)</f>
        <v>0</v>
      </c>
      <c r="H24" s="65"/>
    </row>
    <row r="25" spans="1:8" ht="15.95" customHeight="1" thickBot="1" x14ac:dyDescent="0.4">
      <c r="A25" s="32"/>
      <c r="B25" s="64"/>
      <c r="C25" s="64"/>
      <c r="D25" s="64"/>
      <c r="E25" s="64"/>
      <c r="F25" s="64"/>
      <c r="G25" s="37"/>
      <c r="H25" s="33"/>
    </row>
    <row r="26" spans="1:8" ht="15.95" customHeight="1" thickTop="1" x14ac:dyDescent="0.35">
      <c r="A26" s="39"/>
      <c r="B26" s="919" t="s">
        <v>127</v>
      </c>
      <c r="C26" s="920"/>
      <c r="D26" s="920"/>
      <c r="E26" s="920"/>
      <c r="F26" s="920"/>
      <c r="G26" s="60"/>
      <c r="H26" s="40"/>
    </row>
    <row r="27" spans="1:8" ht="20.100000000000001" customHeight="1" x14ac:dyDescent="0.35">
      <c r="A27" s="899" t="str">
        <f>IF(G35&lt;&gt;0,ROUND(G35/24,1)&amp;" ml/u","")</f>
        <v/>
      </c>
      <c r="B27" s="83" t="s">
        <v>34</v>
      </c>
      <c r="C27" s="85"/>
      <c r="D27" s="85"/>
      <c r="E27" s="85"/>
      <c r="F27" s="89"/>
      <c r="G27" s="90">
        <f>IF(AND(OR(_Ped_TPN_Keuze=1,_Pat_Gewicht/10&gt;50,AND(_Ped_TPN_Keuze=2,_Ped_TPN_SST1Keuze&gt;10))),ROUND(PedBerTPN!F7,0),"")</f>
        <v>0</v>
      </c>
      <c r="H27" s="33"/>
    </row>
    <row r="28" spans="1:8" ht="20.100000000000001" customHeight="1" x14ac:dyDescent="0.35">
      <c r="A28" s="900"/>
      <c r="B28" s="84" t="s">
        <v>433</v>
      </c>
      <c r="C28" s="87"/>
      <c r="D28" s="87"/>
      <c r="E28" s="87"/>
      <c r="F28" s="91"/>
      <c r="G28" s="92">
        <f>IF(AND(OR(_Ped_TPN_Keuze=1,_Pat_Gewicht/10&gt;50,AND(_Ped_TPN_Keuze=2,_Ped_TPN_SST1Keuze&gt;10))),ROUND(PedBerTPN!F8,0),"")</f>
        <v>0</v>
      </c>
      <c r="H28" s="33"/>
    </row>
    <row r="29" spans="1:8" ht="15.95" customHeight="1" x14ac:dyDescent="0.35">
      <c r="A29" s="62"/>
      <c r="B29" s="84" t="s">
        <v>453</v>
      </c>
      <c r="C29" s="87"/>
      <c r="D29" s="87"/>
      <c r="E29" s="87"/>
      <c r="F29" s="91"/>
      <c r="G29" s="92">
        <f>PedBerTPN!F9</f>
        <v>0</v>
      </c>
      <c r="H29" s="33"/>
    </row>
    <row r="30" spans="1:8" ht="15.95" customHeight="1" x14ac:dyDescent="0.35">
      <c r="A30" s="62"/>
      <c r="B30" s="84" t="s">
        <v>454</v>
      </c>
      <c r="C30" s="87"/>
      <c r="D30" s="87"/>
      <c r="E30" s="87"/>
      <c r="F30" s="91"/>
      <c r="G30" s="92">
        <f>PedBerTPN!F10</f>
        <v>0</v>
      </c>
      <c r="H30" s="33"/>
    </row>
    <row r="31" spans="1:8" ht="15.95" customHeight="1" x14ac:dyDescent="0.35">
      <c r="A31" s="62"/>
      <c r="B31" s="84" t="s">
        <v>327</v>
      </c>
      <c r="C31" s="87"/>
      <c r="D31" s="87"/>
      <c r="E31" s="87"/>
      <c r="F31" s="91"/>
      <c r="G31" s="92">
        <f>IF(_Pat_Gewicht/10&lt;=50,PedBerTPN!F17,0)+IF(OR(AND(_Ped_TPN_SST1Keuze=2,_Ped_TPN_Keuze=1),AND(_Ped_TPN_SST1Keuze=2,_Pat_Gewicht/10&gt;50)),ROUND(PedBerTPN!F6,0),0)</f>
        <v>0</v>
      </c>
      <c r="H31" s="33"/>
    </row>
    <row r="32" spans="1:8" ht="15.95" customHeight="1" x14ac:dyDescent="0.35">
      <c r="A32" s="62"/>
      <c r="B32" s="84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2" s="87"/>
      <c r="D32" s="87"/>
      <c r="E32" s="87"/>
      <c r="F32" s="91"/>
      <c r="G32" s="92">
        <f>IF(AND(_Ped_TPN_SST1Keuze&lt;&gt;2,_Ped_TPN_SST1Keuze&lt;&gt;12,_Ped_TPN_SST1Keuze&lt;&gt;13),PedBerTPN!F6,"")</f>
        <v>0</v>
      </c>
      <c r="H32" s="33"/>
    </row>
    <row r="33" spans="1:8" ht="15.95" customHeight="1" x14ac:dyDescent="0.35">
      <c r="A33" s="62"/>
      <c r="B33" s="929" t="s">
        <v>35</v>
      </c>
      <c r="C33" s="930"/>
      <c r="D33" s="930"/>
      <c r="E33" s="930"/>
      <c r="F33" s="91"/>
      <c r="G33" s="92" t="str">
        <f>IF(AND(_Ped_TPN_SST1Keuze=12),ROUND(PedBerTPN!F6,0),"")</f>
        <v/>
      </c>
      <c r="H33" s="33"/>
    </row>
    <row r="34" spans="1:8" ht="20.100000000000001" customHeight="1" x14ac:dyDescent="0.35">
      <c r="A34" s="32"/>
      <c r="B34" s="929" t="s">
        <v>36</v>
      </c>
      <c r="C34" s="930"/>
      <c r="D34" s="930"/>
      <c r="E34" s="930"/>
      <c r="F34" s="91"/>
      <c r="G34" s="92" t="str">
        <f>IF(AND(_Ped_TPN_SST1Keuze=13),ROUND(PedBerTPN!F6,0),"")</f>
        <v/>
      </c>
      <c r="H34" s="33"/>
    </row>
    <row r="35" spans="1:8" ht="20.100000000000001" customHeight="1" x14ac:dyDescent="0.35">
      <c r="A35" s="32"/>
      <c r="B35" s="37"/>
      <c r="C35" s="37"/>
      <c r="D35" s="37"/>
      <c r="E35" s="903" t="s">
        <v>239</v>
      </c>
      <c r="F35" s="903"/>
      <c r="G35" s="68">
        <f>SUM(G27:G34)</f>
        <v>0</v>
      </c>
      <c r="H35" s="33"/>
    </row>
    <row r="36" spans="1:8" ht="20.100000000000001" customHeight="1" thickBot="1" x14ac:dyDescent="0.4">
      <c r="A36" s="32"/>
      <c r="B36" s="37"/>
      <c r="C36" s="37"/>
      <c r="D36" s="37"/>
      <c r="E36" s="37"/>
      <c r="F36" s="37"/>
      <c r="G36" s="37"/>
      <c r="H36" s="33"/>
    </row>
    <row r="37" spans="1:8" ht="20.100000000000001" customHeight="1" thickTop="1" x14ac:dyDescent="0.35">
      <c r="A37" s="39"/>
      <c r="B37" s="907" t="s">
        <v>268</v>
      </c>
      <c r="C37" s="908"/>
      <c r="D37" s="908"/>
      <c r="E37" s="908"/>
      <c r="F37" s="909"/>
      <c r="G37" s="40" t="s">
        <v>269</v>
      </c>
      <c r="H37" s="40"/>
    </row>
    <row r="38" spans="1:8" ht="20.100000000000001" customHeight="1" x14ac:dyDescent="0.35">
      <c r="A38" s="41"/>
      <c r="B38" s="894" t="s">
        <v>270</v>
      </c>
      <c r="C38" s="895"/>
      <c r="D38" s="895"/>
      <c r="E38" s="895"/>
      <c r="F38" s="896"/>
      <c r="G38" s="35" t="s">
        <v>271</v>
      </c>
      <c r="H38" s="33"/>
    </row>
    <row r="39" spans="1:8" ht="20.100000000000001" customHeight="1" x14ac:dyDescent="0.35">
      <c r="A39" s="41"/>
      <c r="B39" s="894" t="s">
        <v>272</v>
      </c>
      <c r="C39" s="895"/>
      <c r="D39" s="895"/>
      <c r="E39" s="895"/>
      <c r="F39" s="896"/>
      <c r="G39" s="35" t="s">
        <v>269</v>
      </c>
      <c r="H39" s="36"/>
    </row>
    <row r="40" spans="1:8" ht="20.100000000000001" customHeight="1" x14ac:dyDescent="0.35"/>
    <row r="41" spans="1:8" ht="15.95" customHeight="1" x14ac:dyDescent="0.35">
      <c r="A41" s="9" t="s">
        <v>273</v>
      </c>
    </row>
    <row r="42" spans="1:8" ht="10.5" customHeight="1" x14ac:dyDescent="0.35">
      <c r="A42" s="9" t="s">
        <v>238</v>
      </c>
    </row>
    <row r="43" spans="1:8" ht="15.95" customHeight="1" x14ac:dyDescent="0.35"/>
    <row r="44" spans="1:8" ht="15.95" customHeight="1" x14ac:dyDescent="0.35">
      <c r="A44" s="9" t="s">
        <v>274</v>
      </c>
    </row>
    <row r="45" spans="1:8" ht="15.95" customHeight="1" x14ac:dyDescent="0.35"/>
    <row r="46" spans="1:8" x14ac:dyDescent="0.35">
      <c r="A46" s="9" t="s">
        <v>85</v>
      </c>
    </row>
    <row r="48" spans="1:8" ht="13.2" x14ac:dyDescent="0.4">
      <c r="F48" s="3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O40"/>
  <sheetViews>
    <sheetView topLeftCell="A2" workbookViewId="0">
      <selection activeCell="A28" sqref="A28:I28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A1" s="577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262</v>
      </c>
      <c r="C2" t="s">
        <v>126</v>
      </c>
      <c r="D2" s="25" t="s">
        <v>317</v>
      </c>
      <c r="E2" s="25" t="s">
        <v>120</v>
      </c>
      <c r="F2" t="s">
        <v>335</v>
      </c>
      <c r="G2" t="s">
        <v>207</v>
      </c>
      <c r="H2" t="s">
        <v>122</v>
      </c>
      <c r="I2" t="s">
        <v>248</v>
      </c>
      <c r="J2" t="s">
        <v>249</v>
      </c>
      <c r="K2" t="s">
        <v>250</v>
      </c>
      <c r="L2" t="s">
        <v>251</v>
      </c>
      <c r="M2" t="s">
        <v>210</v>
      </c>
      <c r="N2" t="s">
        <v>123</v>
      </c>
      <c r="O2" t="s">
        <v>213</v>
      </c>
    </row>
    <row r="3" spans="1:15" x14ac:dyDescent="0.35">
      <c r="A3" t="s">
        <v>364</v>
      </c>
      <c r="E3">
        <f>IF(D3&lt;50,D3/10,IF(D3&lt;146,D3-45,(D3-125)*5))</f>
        <v>0</v>
      </c>
      <c r="F3">
        <f>ROUND(E3*24+ROUND(IF(AND(_Ped_TPN_Keuze=2,_Pat_Gewicht/10&lt;=50,_Ped_TPN_SST1Keuze&lt;11),F4*2+2*(F7+F8),2*(F7+F8)+4*(F9+F10))/24,0)*24,0)</f>
        <v>0</v>
      </c>
    </row>
    <row r="4" spans="1:15" x14ac:dyDescent="0.35">
      <c r="A4" t="s">
        <v>254</v>
      </c>
      <c r="B4">
        <v>1</v>
      </c>
      <c r="D4">
        <f>F4/24</f>
        <v>0</v>
      </c>
      <c r="F4">
        <f>IF(AND(OR(_Ped_TPN_SST1Keuze&lt;11,_Pat_Gewicht/10&gt;50),B4&lt;&gt;1),_Ped_TPN_Vol,0)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334</v>
      </c>
      <c r="F5">
        <f>IF(AND(_Pat_Gewicht/10&gt;=16,_Ped_TPN_Keuze&gt;1,OR(_Ped_TPN_SST1Keuze&lt;11,_Pat_Gewicht/10&gt;50)),E5,0)</f>
        <v>0</v>
      </c>
    </row>
    <row r="6" spans="1:15" x14ac:dyDescent="0.35">
      <c r="A6" s="577" t="s">
        <v>318</v>
      </c>
      <c r="B6">
        <v>1</v>
      </c>
      <c r="F6">
        <f>IF(_Pat_Gewicht/10&gt;50,F3-F7-F8-F9-F10,IF(OR(_Ped_TPN_Keuze=1,_Ped_TPN_SST1Keuze&gt;=11),F3-F7-F8-F9-F10,F3-F4-F5-F7-F8))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35">
      <c r="A7" t="s">
        <v>359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245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360</v>
      </c>
      <c r="C9" t="b">
        <v>0</v>
      </c>
      <c r="D9">
        <f>_Ped_TPN_CaGlucVol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341</v>
      </c>
      <c r="C10" t="b">
        <v>0</v>
      </c>
      <c r="D10">
        <f>_Ped_TPN_MgClVol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339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214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215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35">
      <c r="A14" t="s">
        <v>216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217</v>
      </c>
      <c r="C15" t="b">
        <v>0</v>
      </c>
      <c r="D15">
        <f>IF(E15&lt;50,E15/10,E15-45)</f>
        <v>0.1</v>
      </c>
      <c r="E15">
        <v>1</v>
      </c>
      <c r="F15">
        <f>IF(AND(C15,_Pat_Gewicht/10&gt;=7),D15,0)</f>
        <v>0</v>
      </c>
    </row>
    <row r="16" spans="1:15" s="517" customFormat="1" x14ac:dyDescent="0.35">
      <c r="A16" s="518" t="s">
        <v>1173</v>
      </c>
      <c r="D16" s="517">
        <f>IF(E16&lt;50,E16/10,E16-45)</f>
        <v>4.9000000000000004</v>
      </c>
      <c r="E16" s="517">
        <v>49</v>
      </c>
      <c r="F16" s="517">
        <f>IF(C16,D16,0)</f>
        <v>0</v>
      </c>
    </row>
    <row r="17" spans="1:15" x14ac:dyDescent="0.35">
      <c r="A17" t="s">
        <v>169</v>
      </c>
      <c r="F17">
        <f>IF(AND(_Ped_TPN_Keuze=2,_Pat_Gewicht/10&lt;=50,_Ped_TPN_SST1Keuze&lt;11),ROUND((F9*4+F10*4)/10,0)*10,IF(AND(_Ped_TPN_Keuze=2,_Pat_Gewicht/10&gt;50),100,0))</f>
        <v>0</v>
      </c>
      <c r="G17">
        <f>F17*0.1</f>
        <v>0</v>
      </c>
    </row>
    <row r="18" spans="1:15" x14ac:dyDescent="0.35">
      <c r="A18" t="s">
        <v>121</v>
      </c>
      <c r="F18">
        <f>(ROUND(PedBerTPN!F11*1.5/(_Pat_Gewicht/10)/24/0.01,1)*24-PedBerTPN!F11)</f>
        <v>0</v>
      </c>
      <c r="G18">
        <f>F18*0.05</f>
        <v>0</v>
      </c>
      <c r="N18">
        <f>4*G18</f>
        <v>0</v>
      </c>
    </row>
    <row r="19" spans="1:15" x14ac:dyDescent="0.35">
      <c r="A19" t="s">
        <v>365</v>
      </c>
      <c r="D19">
        <v>0</v>
      </c>
      <c r="E19">
        <f>IF(D19&lt;50,D19/10,D19-45)</f>
        <v>0</v>
      </c>
      <c r="F19">
        <f>E19*24</f>
        <v>0</v>
      </c>
    </row>
    <row r="20" spans="1:15" x14ac:dyDescent="0.35">
      <c r="A20" t="s">
        <v>318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35">
      <c r="A21" t="s">
        <v>359</v>
      </c>
      <c r="D21">
        <f>IF(E21&lt;50,E21/10,E21-45)</f>
        <v>0</v>
      </c>
      <c r="F21">
        <f>IF(AND(D21+D22&lt;F19,C21),D21,0)</f>
        <v>0</v>
      </c>
      <c r="I21">
        <f>F21*0.5</f>
        <v>0</v>
      </c>
    </row>
    <row r="22" spans="1:15" x14ac:dyDescent="0.35">
      <c r="A22" t="s">
        <v>245</v>
      </c>
      <c r="D22">
        <f>IF(E22&lt;50,E22/10,E22-45)</f>
        <v>0</v>
      </c>
      <c r="F22">
        <f>IF(AND(C22,D21+D22&lt;F19),D22,0)</f>
        <v>0</v>
      </c>
      <c r="J22">
        <f>F22</f>
        <v>0</v>
      </c>
    </row>
    <row r="24" spans="1:15" x14ac:dyDescent="0.35">
      <c r="A24" t="s">
        <v>124</v>
      </c>
      <c r="F24">
        <f>IF(_Pat_Gewicht/10&gt;50,SUM(F3+F4+F12+F18+F17+F19),IF(_Ped_TPN_Keuze=1,SUM(F3+F12+F17+F18+F19),SUM(F3+F9+F10+F12+F17+F18+F19)))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35">
      <c r="A26" s="61"/>
      <c r="B26" s="61" t="s">
        <v>246</v>
      </c>
      <c r="C26" s="61" t="s">
        <v>247</v>
      </c>
      <c r="D26" s="61" t="s">
        <v>248</v>
      </c>
      <c r="E26" s="61" t="s">
        <v>249</v>
      </c>
      <c r="F26" s="61" t="s">
        <v>250</v>
      </c>
      <c r="G26" s="61" t="s">
        <v>251</v>
      </c>
      <c r="H26" s="61" t="s">
        <v>252</v>
      </c>
      <c r="I26" s="61" t="s">
        <v>253</v>
      </c>
      <c r="L26" t="s">
        <v>118</v>
      </c>
      <c r="M26" t="s">
        <v>119</v>
      </c>
      <c r="N26" t="s">
        <v>91</v>
      </c>
    </row>
    <row r="27" spans="1:15" x14ac:dyDescent="0.35">
      <c r="J27">
        <v>1</v>
      </c>
      <c r="K27" t="s">
        <v>326</v>
      </c>
      <c r="L27">
        <v>0.05</v>
      </c>
      <c r="M27">
        <v>0</v>
      </c>
    </row>
    <row r="28" spans="1:15" x14ac:dyDescent="0.35">
      <c r="A28" s="61" t="s">
        <v>358</v>
      </c>
      <c r="B28" s="61">
        <v>0.08</v>
      </c>
      <c r="C28" s="61">
        <v>0</v>
      </c>
      <c r="D28" s="61">
        <v>8.0000000000000002E-3</v>
      </c>
      <c r="E28" s="61">
        <v>0.02</v>
      </c>
      <c r="F28" s="61">
        <v>2.8000000000000001E-2</v>
      </c>
      <c r="G28" s="61">
        <v>8.0000000000000002E-3</v>
      </c>
      <c r="H28" s="61">
        <v>2.4E-2</v>
      </c>
      <c r="I28" s="61">
        <v>0.32</v>
      </c>
      <c r="J28">
        <v>2</v>
      </c>
      <c r="K28" t="s">
        <v>327</v>
      </c>
      <c r="L28">
        <v>0.1</v>
      </c>
      <c r="M28">
        <v>0</v>
      </c>
    </row>
    <row r="29" spans="1:15" x14ac:dyDescent="0.35">
      <c r="A29" s="61" t="s">
        <v>357</v>
      </c>
      <c r="B29" s="61">
        <v>7.3999999999999996E-2</v>
      </c>
      <c r="C29" s="61">
        <v>0</v>
      </c>
      <c r="D29" s="61">
        <f>(0.5*0.5)/35</f>
        <v>7.1428571428571426E-3</v>
      </c>
      <c r="E29" s="61">
        <f>1.7/100</f>
        <v>1.7000000000000001E-2</v>
      </c>
      <c r="F29" s="61">
        <v>2.5000000000000001E-2</v>
      </c>
      <c r="G29" s="61">
        <f>0.6/100</f>
        <v>6.0000000000000001E-3</v>
      </c>
      <c r="H29" s="61">
        <v>2.1000000000000001E-2</v>
      </c>
      <c r="I29" s="61">
        <v>0.28999999999999998</v>
      </c>
      <c r="J29">
        <v>3</v>
      </c>
      <c r="K29" t="s">
        <v>90</v>
      </c>
      <c r="L29">
        <v>0.125</v>
      </c>
    </row>
    <row r="30" spans="1:15" x14ac:dyDescent="0.35">
      <c r="A30" s="61" t="s">
        <v>358</v>
      </c>
      <c r="B30" s="61">
        <v>0.08</v>
      </c>
      <c r="C30" s="61">
        <v>0</v>
      </c>
      <c r="D30" s="61">
        <f>0.4*0.5/25</f>
        <v>8.0000000000000002E-3</v>
      </c>
      <c r="E30" s="61">
        <f>0.5/25</f>
        <v>0.02</v>
      </c>
      <c r="F30" s="61">
        <v>2.8000000000000001E-2</v>
      </c>
      <c r="G30" s="61">
        <v>8.0000000000000002E-3</v>
      </c>
      <c r="H30" s="61">
        <v>2.4E-2</v>
      </c>
      <c r="I30" s="61">
        <v>0.32</v>
      </c>
      <c r="J30">
        <v>4</v>
      </c>
      <c r="K30" t="s">
        <v>102</v>
      </c>
      <c r="L30">
        <v>0.15</v>
      </c>
      <c r="M30">
        <v>0</v>
      </c>
    </row>
    <row r="31" spans="1:15" x14ac:dyDescent="0.35">
      <c r="A31" s="61" t="s">
        <v>42</v>
      </c>
      <c r="B31" s="61">
        <v>8.7999999999999995E-2</v>
      </c>
      <c r="C31" s="61">
        <v>0</v>
      </c>
      <c r="D31" s="61">
        <f>0.5*0.4/20</f>
        <v>0.01</v>
      </c>
      <c r="E31" s="61">
        <v>2.5000000000000001E-2</v>
      </c>
      <c r="F31" s="61">
        <v>1.7999999999999999E-2</v>
      </c>
      <c r="G31" s="61">
        <v>0.01</v>
      </c>
      <c r="H31" s="61">
        <v>0.03</v>
      </c>
      <c r="I31" s="61">
        <v>0.35</v>
      </c>
      <c r="J31">
        <v>5</v>
      </c>
      <c r="K31" t="s">
        <v>89</v>
      </c>
      <c r="L31">
        <v>0.17499999999999999</v>
      </c>
    </row>
    <row r="32" spans="1:15" x14ac:dyDescent="0.35">
      <c r="A32" s="61" t="s">
        <v>43</v>
      </c>
      <c r="B32" s="61">
        <v>8.3000000000000004E-2</v>
      </c>
      <c r="C32" s="61">
        <v>0</v>
      </c>
      <c r="D32" s="61">
        <f>0.3*0.5/12</f>
        <v>1.2499999999999999E-2</v>
      </c>
      <c r="E32" s="61">
        <v>3.1E-2</v>
      </c>
      <c r="F32" s="61">
        <v>2.5999999999999999E-2</v>
      </c>
      <c r="G32" s="61">
        <v>1.2500000000000001E-2</v>
      </c>
      <c r="H32" s="61">
        <v>3.7999999999999999E-2</v>
      </c>
      <c r="I32" s="61">
        <v>0.33</v>
      </c>
      <c r="J32">
        <v>6</v>
      </c>
      <c r="K32" t="s">
        <v>100</v>
      </c>
      <c r="L32">
        <v>0.2</v>
      </c>
      <c r="M32">
        <v>0</v>
      </c>
    </row>
    <row r="33" spans="1:15" x14ac:dyDescent="0.35">
      <c r="A33" s="61" t="s">
        <v>84</v>
      </c>
      <c r="B33" s="61">
        <v>7.0000000000000007E-2</v>
      </c>
      <c r="C33" s="61">
        <v>0.24</v>
      </c>
      <c r="D33" s="61">
        <v>4.0500000000000001E-2</v>
      </c>
      <c r="E33" s="61">
        <v>2.5700000000000001E-2</v>
      </c>
      <c r="F33" s="61">
        <v>4.1000000000000003E-3</v>
      </c>
      <c r="G33" s="61">
        <v>5.0000000000000001E-3</v>
      </c>
      <c r="H33" s="61">
        <v>1.47E-2</v>
      </c>
      <c r="I33" s="61">
        <v>0.96</v>
      </c>
      <c r="J33">
        <v>7</v>
      </c>
      <c r="K33" t="s">
        <v>236</v>
      </c>
      <c r="L33">
        <v>0.25</v>
      </c>
      <c r="M33">
        <v>0</v>
      </c>
    </row>
    <row r="34" spans="1:15" x14ac:dyDescent="0.35">
      <c r="J34">
        <v>8</v>
      </c>
      <c r="K34" t="s">
        <v>235</v>
      </c>
      <c r="L34">
        <v>0.3</v>
      </c>
      <c r="M34">
        <v>0</v>
      </c>
    </row>
    <row r="35" spans="1:15" x14ac:dyDescent="0.35">
      <c r="J35">
        <v>9</v>
      </c>
      <c r="K35" t="s">
        <v>290</v>
      </c>
      <c r="L35">
        <v>0.4</v>
      </c>
      <c r="M35">
        <v>0</v>
      </c>
      <c r="N35">
        <v>0</v>
      </c>
    </row>
    <row r="36" spans="1:15" x14ac:dyDescent="0.35">
      <c r="A36" s="61" t="s">
        <v>357</v>
      </c>
      <c r="J36">
        <v>10</v>
      </c>
      <c r="K36" t="s">
        <v>101</v>
      </c>
      <c r="L36">
        <v>0.5</v>
      </c>
      <c r="M36">
        <v>0</v>
      </c>
    </row>
    <row r="37" spans="1:15" x14ac:dyDescent="0.35">
      <c r="A37" s="61" t="s">
        <v>358</v>
      </c>
      <c r="J37">
        <v>11</v>
      </c>
      <c r="K37" t="s">
        <v>483</v>
      </c>
      <c r="L37">
        <v>0.05</v>
      </c>
      <c r="M37">
        <v>7.6999999999999999E-2</v>
      </c>
      <c r="O37">
        <v>0</v>
      </c>
    </row>
    <row r="38" spans="1:15" x14ac:dyDescent="0.35">
      <c r="A38" s="61" t="s">
        <v>42</v>
      </c>
      <c r="J38">
        <v>12</v>
      </c>
      <c r="K38" t="s">
        <v>484</v>
      </c>
      <c r="L38">
        <v>0.05</v>
      </c>
      <c r="M38">
        <v>0.155</v>
      </c>
      <c r="O38">
        <v>0</v>
      </c>
    </row>
    <row r="39" spans="1:15" x14ac:dyDescent="0.35">
      <c r="A39" s="61" t="s">
        <v>43</v>
      </c>
      <c r="J39">
        <v>13</v>
      </c>
      <c r="K39" t="s">
        <v>333</v>
      </c>
      <c r="L39">
        <v>0</v>
      </c>
      <c r="M39">
        <v>0.155</v>
      </c>
      <c r="O39">
        <v>0</v>
      </c>
    </row>
    <row r="40" spans="1:15" x14ac:dyDescent="0.35">
      <c r="A40" s="61" t="s">
        <v>84</v>
      </c>
      <c r="J40">
        <v>14</v>
      </c>
      <c r="K40" s="9" t="s">
        <v>485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85" x14ac:dyDescent="0.3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aken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421" customWidth="1"/>
    <col min="2" max="5" width="12.3984375" style="421" customWidth="1"/>
    <col min="6" max="6" width="10.73046875" style="421" customWidth="1"/>
    <col min="7" max="11" width="12.3984375" style="421" customWidth="1"/>
    <col min="12" max="12" width="5.265625" style="421" customWidth="1"/>
    <col min="13" max="13" width="7.86328125" style="421" customWidth="1"/>
    <col min="14" max="14" width="17.1328125" style="421" customWidth="1"/>
    <col min="15" max="19" width="12.3984375" style="421" customWidth="1"/>
    <col min="20" max="16384" width="9.1328125" style="421"/>
  </cols>
  <sheetData>
    <row r="1" spans="1:15" ht="9.75" customHeight="1" x14ac:dyDescent="0.35">
      <c r="A1" s="597"/>
      <c r="B1" s="422" t="str">
        <f>IF(E60&lt;0,"Te weinig volume voor TPN!","")</f>
        <v/>
      </c>
    </row>
    <row r="2" spans="1:15" ht="15.95" customHeight="1" x14ac:dyDescent="0.35">
      <c r="B2" s="423" t="s">
        <v>381</v>
      </c>
      <c r="C2" s="423" t="s">
        <v>591</v>
      </c>
      <c r="D2" s="423" t="s">
        <v>592</v>
      </c>
      <c r="E2" s="423" t="s">
        <v>124</v>
      </c>
      <c r="G2" s="423"/>
      <c r="H2" s="423" t="s">
        <v>591</v>
      </c>
      <c r="I2" s="423" t="s">
        <v>592</v>
      </c>
      <c r="J2" s="423" t="s">
        <v>124</v>
      </c>
    </row>
    <row r="3" spans="1:15" ht="15.95" customHeight="1" x14ac:dyDescent="0.4">
      <c r="B3" s="424" t="s">
        <v>335</v>
      </c>
      <c r="C3" s="425" t="str">
        <f ca="1">ROUND(NeoBerIV!K50/(_Pat_Gewicht/10),0)&amp;" ml/kg"</f>
        <v>0 ml/kg</v>
      </c>
      <c r="D3" s="425" t="str">
        <f>ROUND(NeoBerIV!K49/(_Pat_Gewicht/10),0)&amp;" ml/kg"</f>
        <v>0 ml/kg</v>
      </c>
      <c r="E3" s="425" t="str">
        <f ca="1">ROUND(NeoBerIV!K47/(_Pat_Gewicht/10),0)&amp;" ml/kg  "&amp;"= "&amp;ROUND(NeoBerIV!K47,0)&amp;" ml"</f>
        <v>0 ml/kg  = 0 ml</v>
      </c>
      <c r="G3" s="424" t="s">
        <v>183</v>
      </c>
      <c r="H3" s="425" t="str">
        <f ca="1">ROUND(NeoBerIV!L50/(_Pat_Gewicht/10),1)&amp;" mmol/kg"</f>
        <v>0 mmol/kg</v>
      </c>
      <c r="I3" s="425" t="str">
        <f>ROUND(NeoBerIV!L49/(_Pat_Gewicht/10),1)&amp;" mmol/kg"</f>
        <v>0 mmol/kg</v>
      </c>
      <c r="J3" s="425" t="str">
        <f ca="1">ROUND(NeoBerIV!L47/(_Pat_Gewicht/10),1)&amp;" mmol/kg"</f>
        <v>0 mmol/kg</v>
      </c>
      <c r="K3" s="931" t="s">
        <v>1168</v>
      </c>
      <c r="L3" s="931"/>
      <c r="M3" s="931"/>
      <c r="N3" s="931"/>
    </row>
    <row r="4" spans="1:15" ht="15.95" customHeight="1" x14ac:dyDescent="0.4">
      <c r="B4" s="424" t="s">
        <v>241</v>
      </c>
      <c r="C4" s="425" t="str">
        <f ca="1">ROUND(NeoBerIV!Q50/(_Pat_Gewicht/10),1)&amp;" g/kg"</f>
        <v>0 g/kg</v>
      </c>
      <c r="D4" s="425" t="str">
        <f>ROUND(NeoBerIV!Q49/(_Pat_Gewicht/10),1)&amp;" g/kg"</f>
        <v>0 g/kg</v>
      </c>
      <c r="E4" s="425" t="str">
        <f ca="1">ROUND(NeoBerIV!Q47/(_Pat_Gewicht/10),1)&amp;" g/kg"</f>
        <v>0 g/kg</v>
      </c>
      <c r="G4" s="424" t="s">
        <v>302</v>
      </c>
      <c r="H4" s="425" t="str">
        <f ca="1">ROUND(NeoBerIV!M50/(_Pat_Gewicht/10),1)&amp;" mmol/kg"</f>
        <v>0 mmol/kg</v>
      </c>
      <c r="I4" s="425" t="str">
        <f>ROUND(NeoBerIV!M49/(_Pat_Gewicht/10),1)&amp;" mmol/kg"</f>
        <v>0 mmol/kg</v>
      </c>
      <c r="J4" s="425" t="str">
        <f ca="1">ROUND(NeoBerIV!M47/(_Pat_Gewicht/10),1)&amp;" mmol/kg"</f>
        <v>0 mmol/kg</v>
      </c>
      <c r="K4" s="931"/>
      <c r="L4" s="931"/>
      <c r="M4" s="931"/>
      <c r="N4" s="931"/>
    </row>
    <row r="5" spans="1:15" ht="15.95" customHeight="1" x14ac:dyDescent="0.4">
      <c r="B5" s="424" t="s">
        <v>242</v>
      </c>
      <c r="C5" s="425" t="str">
        <f ca="1">ROUND(NeoBerIV!S50/(_Pat_Gewicht/10),1)&amp;" g/kg"</f>
        <v>0 g/kg</v>
      </c>
      <c r="D5" s="425" t="str">
        <f>ROUND(NeoBerIV!S49/(_Pat_Gewicht/10),1)&amp;" g/kg"</f>
        <v>0 g/kg</v>
      </c>
      <c r="E5" s="425" t="str">
        <f ca="1">ROUND(NeoBerIV!S47/(_Pat_Gewicht/10),1)&amp;" g/kg"</f>
        <v>0 g/kg</v>
      </c>
      <c r="G5" s="424" t="s">
        <v>243</v>
      </c>
      <c r="H5" s="425" t="str">
        <f ca="1">ROUND(NeoBerIV!N50/(_Pat_Gewicht/10),1)&amp;" mmol/kg"</f>
        <v>0 mmol/kg</v>
      </c>
      <c r="I5" s="425" t="str">
        <f>ROUND(NeoBerIV!N49/(_Pat_Gewicht/10),1)&amp;" mmol/kg"</f>
        <v>0 mmol/kg</v>
      </c>
      <c r="J5" s="425" t="str">
        <f ca="1">ROUND(NeoBerIV!N47/(_Pat_Gewicht/10),1)&amp;" mmol/kg"</f>
        <v>0 mmol/kg</v>
      </c>
      <c r="K5" s="931"/>
      <c r="L5" s="931"/>
      <c r="M5" s="931"/>
      <c r="N5" s="931"/>
    </row>
    <row r="6" spans="1:15" ht="15.95" customHeight="1" x14ac:dyDescent="0.4">
      <c r="A6" s="597"/>
      <c r="B6" s="424" t="s">
        <v>593</v>
      </c>
      <c r="C6" s="425" t="str">
        <f>ROUND(1000*NeoBerIV!R50/(_Pat_Gewicht/10)/1440,1)&amp;" mg/kg/min"</f>
        <v>0 mg/kg/min</v>
      </c>
      <c r="D6" s="425" t="str">
        <f>ROUND(1000*NeoBerIV!R49/(_Pat_Gewicht/10)/1440,1)&amp;" mg/kg/min"</f>
        <v>0 mg/kg/min</v>
      </c>
      <c r="E6" s="425" t="str">
        <f>ROUND(1000*NeoBerIV!R47/(_Pat_Gewicht/10)/1440,1)&amp;" mg/kg/min"</f>
        <v>0 mg/kg/min</v>
      </c>
      <c r="G6" s="424" t="s">
        <v>340</v>
      </c>
      <c r="H6" s="425" t="str">
        <f ca="1">ROUND(NeoBerIV!O50/(_Pat_Gewicht/10),1)&amp;" mmol/kg"</f>
        <v>0 mmol/kg</v>
      </c>
      <c r="I6" s="425" t="str">
        <f>ROUND(NeoBerIV!O49/(_Pat_Gewicht/10),1)&amp;" mmol/kg"</f>
        <v>0 mmol/kg</v>
      </c>
      <c r="J6" s="425" t="str">
        <f ca="1">ROUND(NeoBerIV!O47/(_Pat_Gewicht/10),1)&amp;" mmol/kg"</f>
        <v>0 mmol/kg</v>
      </c>
      <c r="K6" s="931"/>
      <c r="L6" s="931"/>
      <c r="M6" s="931"/>
      <c r="N6" s="931"/>
    </row>
    <row r="7" spans="1:15" ht="15.95" customHeight="1" x14ac:dyDescent="0.4">
      <c r="B7" s="424" t="s">
        <v>586</v>
      </c>
      <c r="C7" s="425" t="str">
        <f ca="1">ROUND(NeoBerIV!T50/(_Pat_Gewicht/10),1)&amp; " kcal/kg"</f>
        <v>0 kcal/kg</v>
      </c>
      <c r="D7" s="425" t="str">
        <f>ROUND(NeoBerIV!T49/(_Pat_Gewicht/10),1)&amp; " kcal/kg"</f>
        <v>0 kcal/kg</v>
      </c>
      <c r="E7" s="425" t="str">
        <f ca="1">ROUND(NeoBerIV!T47/(_Pat_Gewicht/10),1)&amp; " kcal/kg"</f>
        <v>0 kcal/kg</v>
      </c>
      <c r="G7" s="424" t="s">
        <v>594</v>
      </c>
      <c r="H7" s="425" t="str">
        <f ca="1">ROUND(NeoBerIV!U50/(_Pat_Gewicht/10),1)&amp;" mmol/kg"</f>
        <v>0 mmol/kg</v>
      </c>
      <c r="I7" s="425" t="str">
        <f>ROUND(NeoBerIV!U49/(_Pat_Gewicht/10),1)&amp;" mmol/kg"</f>
        <v>0 mmol/kg</v>
      </c>
      <c r="J7" s="425" t="str">
        <f ca="1">ROUND(NeoBerIV!U47/(_Pat_Gewicht/10),1)&amp;" mmol/kg"</f>
        <v>0 mmol/kg</v>
      </c>
    </row>
    <row r="8" spans="1:15" ht="15.95" customHeight="1" thickBot="1" x14ac:dyDescent="0.45">
      <c r="A8" s="426"/>
      <c r="B8" s="427" t="s">
        <v>595</v>
      </c>
      <c r="C8" s="428" t="str">
        <f ca="1">ROUND(NeoBerIV!V50,0)&amp; " IE"</f>
        <v>0 IE</v>
      </c>
      <c r="D8" s="428" t="str">
        <f>ROUND(NeoBerIV!V49,0)&amp; " IE"</f>
        <v>0 IE</v>
      </c>
      <c r="E8" s="428" t="str">
        <f ca="1">ROUND(NeoBerIV!V47,0)&amp; " IE"</f>
        <v>0 IE</v>
      </c>
      <c r="F8" s="426"/>
      <c r="G8" s="427" t="s">
        <v>244</v>
      </c>
      <c r="H8" s="428" t="str">
        <f>ROUND(NeoBerIV!P50/(_Pat_Gewicht/10),1)&amp;" mmol/kg"</f>
        <v>0 mmol/kg</v>
      </c>
      <c r="I8" s="428" t="str">
        <f>ROUND(NeoBerIV!P49/(_Pat_Gewicht/10),1)&amp;" mmol/kg"</f>
        <v>0 mmol/kg</v>
      </c>
      <c r="J8" s="428" t="str">
        <f>ROUND(NeoBerIV!P47/(_Pat_Gewicht/10),1)&amp;" mmol/kg"</f>
        <v>0 mmol/kg</v>
      </c>
      <c r="K8" s="426"/>
      <c r="L8" s="426"/>
      <c r="M8" s="426"/>
      <c r="N8" s="426"/>
      <c r="O8" s="426"/>
    </row>
    <row r="9" spans="1:15" ht="8.3000000000000007" customHeight="1" thickTop="1" x14ac:dyDescent="0.4">
      <c r="A9" s="607"/>
      <c r="B9" s="430"/>
      <c r="C9" s="431"/>
      <c r="D9" s="431"/>
      <c r="E9" s="431"/>
      <c r="F9" s="429"/>
      <c r="G9" s="430"/>
      <c r="H9" s="431"/>
      <c r="I9" s="431"/>
      <c r="J9" s="431"/>
      <c r="K9" s="429"/>
      <c r="L9" s="429"/>
      <c r="M9" s="429"/>
      <c r="N9" s="429"/>
    </row>
    <row r="10" spans="1:15" ht="15.95" customHeight="1" x14ac:dyDescent="0.4">
      <c r="B10" s="498" t="s">
        <v>596</v>
      </c>
      <c r="C10" s="499"/>
      <c r="D10" s="499"/>
      <c r="E10" s="499"/>
      <c r="F10" s="499"/>
      <c r="G10" s="500" t="s">
        <v>371</v>
      </c>
      <c r="H10" s="499"/>
      <c r="I10" s="499">
        <f>__0_PatNum</f>
        <v>123456</v>
      </c>
      <c r="J10" s="499"/>
      <c r="K10" s="499"/>
      <c r="L10" s="499"/>
      <c r="M10" s="499"/>
    </row>
    <row r="11" spans="1:15" ht="15.95" customHeight="1" x14ac:dyDescent="0.4">
      <c r="B11" s="498" t="s">
        <v>597</v>
      </c>
      <c r="C11" s="499"/>
      <c r="D11" s="499"/>
      <c r="E11" s="499"/>
      <c r="F11" s="499"/>
      <c r="G11" s="500" t="s">
        <v>28</v>
      </c>
      <c r="H11" s="499"/>
      <c r="I11" s="501" t="str">
        <f>__2_AchterNaam &amp;",  "&amp;__3_VoorNaam</f>
        <v>Test,  Test</v>
      </c>
      <c r="J11" s="502"/>
      <c r="K11" s="499"/>
      <c r="L11" s="499"/>
      <c r="M11" s="499"/>
    </row>
    <row r="12" spans="1:15" ht="15.95" customHeight="1" x14ac:dyDescent="0.4">
      <c r="B12" s="498" t="s">
        <v>598</v>
      </c>
      <c r="C12" s="499"/>
      <c r="D12" s="499"/>
      <c r="E12" s="499"/>
      <c r="F12" s="499"/>
      <c r="G12" s="500" t="s">
        <v>599</v>
      </c>
      <c r="H12" s="499"/>
      <c r="I12" s="503">
        <f>NeoBerIV!B3-NeoBerIV!C3</f>
        <v>42736</v>
      </c>
      <c r="J12" s="504" t="str">
        <f ca="1">"=dag "&amp;NeoBerIV!B6</f>
        <v>=dag 1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556</v>
      </c>
      <c r="H13" s="505">
        <f>NeoBerIV!D4</f>
        <v>30</v>
      </c>
      <c r="I13" s="506" t="s">
        <v>600</v>
      </c>
      <c r="J13" s="505">
        <f>NeoBerIV!D5</f>
        <v>0</v>
      </c>
      <c r="K13" s="506" t="s">
        <v>601</v>
      </c>
      <c r="L13" s="506"/>
      <c r="M13" s="499"/>
    </row>
    <row r="14" spans="1:15" ht="15.95" customHeight="1" x14ac:dyDescent="0.4">
      <c r="B14" s="500" t="s">
        <v>328</v>
      </c>
      <c r="C14" s="503">
        <f>NeoBerIV!B5</f>
        <v>42736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551</v>
      </c>
      <c r="C15" s="508" t="str">
        <f>__1_Bed</f>
        <v>Unit 1.2</v>
      </c>
      <c r="D15" s="509"/>
      <c r="E15" s="499"/>
      <c r="F15" s="499"/>
      <c r="G15" s="500" t="s">
        <v>298</v>
      </c>
      <c r="H15" s="510" t="str">
        <f ca="1">TRUNC((H13*7+J13+NeoBerIV!B6-1)/7)&amp;" weken en "&amp; H13*7+J13+NeoBerIV!B6-1-TRUNC((H13*7+J13+NeoBerIV!B6-1)/7)*7&amp;" dag(-en)"</f>
        <v>30 weken en 0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570</v>
      </c>
      <c r="H16" s="512" t="str">
        <f>NeoBerIV!B4&amp;"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424"/>
      <c r="K17" s="435" t="s">
        <v>602</v>
      </c>
      <c r="L17" s="435"/>
    </row>
    <row r="18" spans="1:15" ht="15.95" customHeight="1" x14ac:dyDescent="0.4">
      <c r="B18" s="424" t="s">
        <v>603</v>
      </c>
      <c r="E18" s="436">
        <f ca="1">IF(NeoBerIV!B17,NeoBerIV!C16,ROUND(NeoBerIV!K47/(_Pat_Gewicht/10),1))</f>
        <v>0</v>
      </c>
      <c r="F18" s="437" t="s">
        <v>604</v>
      </c>
      <c r="K18" s="438" t="str">
        <f ca="1">ROUND(NeoBerIV!B16,0)&amp;" ml/ kg/ 24 uur"</f>
        <v>50 ml/ kg/ 24 uur</v>
      </c>
      <c r="L18" s="438"/>
      <c r="M18" s="439"/>
    </row>
    <row r="19" spans="1:15" ht="15.95" customHeight="1" x14ac:dyDescent="0.4">
      <c r="B19" s="424" t="s">
        <v>605</v>
      </c>
      <c r="F19" s="437"/>
      <c r="K19" s="440"/>
      <c r="L19" s="440"/>
      <c r="M19" s="429"/>
    </row>
    <row r="21" spans="1:15" ht="15.95" customHeight="1" x14ac:dyDescent="0.4">
      <c r="D21" s="441" t="s">
        <v>606</v>
      </c>
      <c r="E21" s="442">
        <f>IF(_Neo_InfB_Voeding&gt;1,NeoBerIV!D10,"")</f>
        <v>0</v>
      </c>
      <c r="F21" s="443" t="s">
        <v>607</v>
      </c>
      <c r="G21" s="444" t="str">
        <f>IF(_Neo_InfB_Voeding&gt;1,NeoBerIV!D11/10&amp;" ml","")</f>
        <v>0 ml</v>
      </c>
      <c r="H21" s="445" t="s">
        <v>608</v>
      </c>
    </row>
    <row r="22" spans="1:15" ht="15.95" customHeight="1" x14ac:dyDescent="0.4">
      <c r="D22" s="441" t="s">
        <v>609</v>
      </c>
      <c r="E22" s="442">
        <f>IF(_Neo_InfB_Voeding&gt;1,NeoBerIV!D12,"")</f>
        <v>0</v>
      </c>
      <c r="F22" s="443" t="s">
        <v>607</v>
      </c>
      <c r="G22" s="444" t="str">
        <f>IF(_Neo_InfB_Voeding&gt;1,NeoBerIV!D13/10&amp;" ml","")</f>
        <v>0 ml</v>
      </c>
      <c r="I22" s="441" t="s">
        <v>963</v>
      </c>
      <c r="M22" s="441" t="s">
        <v>964</v>
      </c>
    </row>
    <row r="23" spans="1:15" ht="15.95" customHeight="1" x14ac:dyDescent="0.4">
      <c r="H23" s="441"/>
      <c r="I23" s="609" t="s">
        <v>981</v>
      </c>
      <c r="K23" s="446" t="e">
        <f>INDEX(tbl_Neo_NutrBMFWaard,NeoBerIV!K52)&amp;" %"</f>
        <v>#REF!</v>
      </c>
    </row>
    <row r="24" spans="1:15" ht="15.95" customHeight="1" x14ac:dyDescent="0.4">
      <c r="H24" s="441"/>
      <c r="K24" s="446" t="str">
        <f>INDEX(tbl_Neo_NutrToevWaard,NeoBerIV!K53)&amp;" %"</f>
        <v>0,5 %</v>
      </c>
      <c r="O24" s="446" t="str">
        <f>INDEX(tbl_Neo_NutrToevWaard,NeoBerIV!K58)&amp;" %"</f>
        <v xml:space="preserve"> %</v>
      </c>
    </row>
    <row r="25" spans="1:15" ht="15.95" customHeight="1" x14ac:dyDescent="0.4">
      <c r="H25" s="441"/>
      <c r="K25" s="446" t="str">
        <f>INDEX(tbl_Neo_NutrToevWaard,NeoBerIV!K54)&amp;" %"</f>
        <v xml:space="preserve"> %</v>
      </c>
      <c r="O25" s="446" t="str">
        <f>INDEX(tbl_Neo_NutrToevWaard,NeoBerIV!K59)&amp;" %"</f>
        <v>0,5 %</v>
      </c>
    </row>
    <row r="26" spans="1:15" ht="15.95" customHeight="1" x14ac:dyDescent="0.4">
      <c r="H26" s="441"/>
      <c r="K26" s="446" t="str">
        <f>INDEX(tbl_Neo_NutrToevWaard,NeoBerIV!K55)&amp;" %"</f>
        <v>0,5 %</v>
      </c>
      <c r="O26" s="446" t="str">
        <f>INDEX(tbl_Neo_NutrToevWaard,NeoBerIV!K60)&amp;" %"</f>
        <v>0,5 %</v>
      </c>
    </row>
    <row r="27" spans="1:15" ht="15.95" customHeight="1" x14ac:dyDescent="0.4">
      <c r="B27" s="447"/>
      <c r="C27" s="447"/>
      <c r="D27" s="447"/>
      <c r="E27" s="448"/>
      <c r="F27" s="447"/>
      <c r="G27" s="447"/>
      <c r="H27" s="448"/>
      <c r="I27" s="447"/>
      <c r="J27" s="447"/>
      <c r="K27" s="446" t="str">
        <f>INDEX(tbl_Neo_NutrToevWaard,NeoBerIV!K56)&amp;" %"</f>
        <v xml:space="preserve"> %</v>
      </c>
      <c r="L27" s="447"/>
      <c r="M27" s="447"/>
      <c r="N27" s="447"/>
      <c r="O27" s="446" t="str">
        <f>INDEX(tbl_Neo_NutrToevWaard,NeoBerIV!K61)&amp;" %"</f>
        <v>0,5 %</v>
      </c>
    </row>
    <row r="28" spans="1:15" ht="15.95" customHeight="1" x14ac:dyDescent="0.4">
      <c r="B28" s="424" t="s">
        <v>610</v>
      </c>
      <c r="E28" s="449">
        <f ca="1">IF(NeoBerIV!B17,NeoBerIV!C17,NeoBerIV!K50)</f>
        <v>0</v>
      </c>
      <c r="F28" s="437" t="s">
        <v>611</v>
      </c>
    </row>
    <row r="29" spans="1:15" ht="15.95" customHeight="1" x14ac:dyDescent="0.35">
      <c r="H29" s="435" t="s">
        <v>612</v>
      </c>
      <c r="I29" s="435"/>
      <c r="J29" s="450" t="s">
        <v>560</v>
      </c>
      <c r="K29" s="435" t="s">
        <v>613</v>
      </c>
      <c r="L29" s="435"/>
      <c r="N29" s="435" t="s">
        <v>614</v>
      </c>
    </row>
    <row r="30" spans="1:15" ht="15.95" customHeight="1" x14ac:dyDescent="0.4">
      <c r="A30" s="451"/>
      <c r="B30" s="430" t="s">
        <v>779</v>
      </c>
      <c r="C30" s="429"/>
      <c r="D30" s="429"/>
      <c r="E30" s="429"/>
      <c r="F30" s="429"/>
      <c r="G30" s="452" t="str">
        <f>NeoBerIV!B18/10&amp;" ml/uur"</f>
        <v>0 ml/uur</v>
      </c>
      <c r="H30" s="429"/>
      <c r="I30" s="429"/>
      <c r="J30" s="429"/>
      <c r="K30" s="429"/>
      <c r="L30" s="429"/>
      <c r="M30" s="453"/>
      <c r="N30" s="429"/>
    </row>
    <row r="31" spans="1:15" ht="7.55" customHeight="1" x14ac:dyDescent="0.4">
      <c r="A31" s="451"/>
      <c r="B31" s="430"/>
      <c r="C31" s="429"/>
      <c r="D31" s="429"/>
      <c r="E31" s="429"/>
      <c r="F31" s="429"/>
      <c r="G31" s="454"/>
      <c r="H31" s="429"/>
      <c r="I31" s="429"/>
      <c r="J31" s="429"/>
      <c r="K31" s="429"/>
      <c r="L31" s="429"/>
      <c r="M31" s="453"/>
      <c r="N31" s="429"/>
    </row>
    <row r="32" spans="1:15" ht="15.95" customHeight="1" x14ac:dyDescent="0.4">
      <c r="A32" s="451">
        <v>1</v>
      </c>
      <c r="B32" s="455"/>
      <c r="C32" s="456" t="str">
        <f>IF(NeoBerIV!C20&gt;0,IF(NeoBerIV!B20&lt;&gt;5,NeoBerIV!C20/10&amp;" mg",NeoBerIV!C20/10&amp;" mg"),"")</f>
        <v/>
      </c>
      <c r="D32" s="456" t="str">
        <f>IF(NeoBerIV!D20&gt;0,"in "&amp;NeoBerIV!D20&amp;" ml","")</f>
        <v/>
      </c>
      <c r="E32" s="457"/>
      <c r="F32" s="455"/>
      <c r="G32" s="458" t="str">
        <f>IF(NeoBerIV!F20/10&gt;0,NeoBerIV!F20/10&amp;" ml/uur","")</f>
        <v/>
      </c>
      <c r="H32" s="456" t="str">
        <f>IF(AND(NeoBerIV!H20&gt;0),ROUND(NeoBerIV!H20,2),"")</f>
        <v/>
      </c>
      <c r="I32" s="456">
        <f>IF(_Neo_InfB_Medicament_1&gt;0,INDEX(tbl_Neo_MedIV,NeoBerIV!B20,6),"")</f>
        <v>0</v>
      </c>
      <c r="J32" s="439"/>
      <c r="K32" s="438">
        <f>INDEX(tbl_Neo_MedIV,NeoBerIV!B20,2)</f>
        <v>0</v>
      </c>
      <c r="L32" s="438"/>
      <c r="M32" s="459"/>
      <c r="N32" s="460" t="str">
        <f>IF(NeoBerIV!H20&gt;0,IF(NeoBerIV!X20*10&gt;1,NeoBerIV!W20&amp;" uren",NeoBerIV!W20&amp;" minuten"),"")</f>
        <v/>
      </c>
    </row>
    <row r="33" spans="1:14" ht="15.95" customHeight="1" x14ac:dyDescent="0.4">
      <c r="A33" s="451">
        <v>2</v>
      </c>
      <c r="B33" s="461"/>
      <c r="C33" s="462" t="str">
        <f>IF(NeoBerIV!C21&gt;0,NeoBerIV!C21/10&amp;" mg","")</f>
        <v/>
      </c>
      <c r="D33" s="462" t="str">
        <f>IF(NeoBerIV!D21&gt;0,"in "&amp;NeoBerIV!D21&amp;" ml","")</f>
        <v/>
      </c>
      <c r="E33" s="463"/>
      <c r="F33" s="461"/>
      <c r="G33" s="464" t="str">
        <f>IF(NeoBerIV!F21/10&gt;0,NeoBerIV!F21/10&amp;" ml/uur","")</f>
        <v/>
      </c>
      <c r="H33" s="456" t="str">
        <f>IF(AND(NeoBerIV!H21&gt;0),ROUND(NeoBerIV!H21,2),"")</f>
        <v/>
      </c>
      <c r="I33" s="456">
        <f>IF(_Neo_InfB_Medicament_1&gt;0,INDEX(tbl_Neo_MedIV,NeoBerIV!B21,6),"")</f>
        <v>0</v>
      </c>
      <c r="J33" s="465"/>
      <c r="K33" s="466">
        <f>INDEX(tbl_Neo_MedIV,NeoBerIV!B21,2)</f>
        <v>0</v>
      </c>
      <c r="L33" s="466"/>
      <c r="M33" s="467"/>
      <c r="N33" s="468" t="str">
        <f>IF(NeoBerIV!H21&gt;0,IF(NeoBerIV!X21*10&gt;1,NeoBerIV!W21&amp;" uren",NeoBerIV!W21&amp;" minuten"),"")</f>
        <v/>
      </c>
    </row>
    <row r="34" spans="1:14" ht="15.95" customHeight="1" x14ac:dyDescent="0.4">
      <c r="A34" s="451">
        <v>3</v>
      </c>
      <c r="B34" s="461"/>
      <c r="C34" s="462" t="str">
        <f>IF(NeoBerIV!C22&gt;0,NeoBerIV!C22/10&amp;" mg","")</f>
        <v/>
      </c>
      <c r="D34" s="462" t="str">
        <f>IF(NeoBerIV!D22&gt;0,"in "&amp;NeoBerIV!D22&amp;" ml","")</f>
        <v/>
      </c>
      <c r="E34" s="463"/>
      <c r="F34" s="461"/>
      <c r="G34" s="464" t="str">
        <f>IF(NeoBerIV!F22/10&gt;0,NeoBerIV!F22/10&amp;" ml/uur","")</f>
        <v/>
      </c>
      <c r="H34" s="456" t="str">
        <f>IF(AND(NeoBerIV!H22&gt;0),ROUND(NeoBerIV!H22,2),"")</f>
        <v/>
      </c>
      <c r="I34" s="456">
        <f>IF(_Neo_InfB_Medicament_1&gt;0,INDEX(tbl_Neo_MedIV,NeoBerIV!B22,6),"")</f>
        <v>0</v>
      </c>
      <c r="J34" s="465"/>
      <c r="K34" s="466">
        <f>INDEX(tbl_Neo_MedIV,NeoBerIV!B22,2)</f>
        <v>0</v>
      </c>
      <c r="L34" s="466"/>
      <c r="M34" s="467"/>
      <c r="N34" s="468" t="str">
        <f>IF(NeoBerIV!H22&gt;0,IF(NeoBerIV!X22*10&gt;1,NeoBerIV!W22&amp;" uren",NeoBerIV!W22&amp;" minuten"),"")</f>
        <v/>
      </c>
    </row>
    <row r="35" spans="1:14" ht="15.95" customHeight="1" x14ac:dyDescent="0.4">
      <c r="A35" s="451">
        <v>4</v>
      </c>
      <c r="B35" s="461"/>
      <c r="C35" s="462" t="str">
        <f>IF(NeoBerIV!C23&gt;0,NeoBerIV!C23/10&amp;" mg","")</f>
        <v/>
      </c>
      <c r="D35" s="462" t="str">
        <f>IF(NeoBerIV!D23&gt;0,"in "&amp;NeoBerIV!D23&amp;" ml","")</f>
        <v/>
      </c>
      <c r="E35" s="463"/>
      <c r="F35" s="461"/>
      <c r="G35" s="464" t="str">
        <f>IF(NeoBerIV!F23/10&gt;0,NeoBerIV!F23/10&amp;" ml/uur","")</f>
        <v/>
      </c>
      <c r="H35" s="456" t="str">
        <f>IF(AND(NeoBerIV!H23&gt;0),ROUND(NeoBerIV!H23,2),"")</f>
        <v/>
      </c>
      <c r="I35" s="456">
        <f>IF(_Neo_InfB_Medicament_1&gt;0,INDEX(tbl_Neo_MedIV,NeoBerIV!B23,6),"")</f>
        <v>0</v>
      </c>
      <c r="J35" s="465"/>
      <c r="K35" s="466">
        <f>INDEX(tbl_Neo_MedIV,NeoBerIV!B23,2)</f>
        <v>0</v>
      </c>
      <c r="L35" s="466"/>
      <c r="M35" s="467"/>
      <c r="N35" s="468" t="str">
        <f>IF(NeoBerIV!H23&gt;0,IF(NeoBerIV!X23*10&gt;1,NeoBerIV!W23&amp;" uren",NeoBerIV!W23&amp;" minuten"),"")</f>
        <v/>
      </c>
    </row>
    <row r="36" spans="1:14" ht="15.95" customHeight="1" x14ac:dyDescent="0.4">
      <c r="A36" s="451">
        <v>5</v>
      </c>
      <c r="B36" s="461"/>
      <c r="C36" s="462" t="str">
        <f>IF(NeoBerIV!C24&gt;0,NeoBerIV!C24/10&amp;" mg","")</f>
        <v/>
      </c>
      <c r="D36" s="462" t="str">
        <f>IF(NeoBerIV!D24&gt;0,"in "&amp;NeoBerIV!D24&amp;" ml","")</f>
        <v/>
      </c>
      <c r="E36" s="463"/>
      <c r="F36" s="461"/>
      <c r="G36" s="464" t="str">
        <f>IF(NeoBerIV!F24/10&gt;0,NeoBerIV!F24/10&amp;" ml/uur","")</f>
        <v/>
      </c>
      <c r="H36" s="456" t="str">
        <f>IF(AND(NeoBerIV!H24&gt;0),ROUND(NeoBerIV!H24,2),"")</f>
        <v/>
      </c>
      <c r="I36" s="456">
        <f>IF(_Neo_InfB_Medicament_1&gt;0,INDEX(tbl_Neo_MedIV,NeoBerIV!B24,6),"")</f>
        <v>0</v>
      </c>
      <c r="J36" s="465"/>
      <c r="K36" s="466">
        <f>INDEX(tbl_Neo_MedIV,NeoBerIV!B24,2)</f>
        <v>0</v>
      </c>
      <c r="L36" s="466"/>
      <c r="M36" s="467"/>
      <c r="N36" s="468" t="str">
        <f>IF(NeoBerIV!H24&gt;0,IF(NeoBerIV!X24*10&gt;1,NeoBerIV!W24&amp;" uren",NeoBerIV!W24&amp;" minuten"),"")</f>
        <v/>
      </c>
    </row>
    <row r="37" spans="1:14" ht="15.95" customHeight="1" x14ac:dyDescent="0.4">
      <c r="A37" s="451">
        <v>6</v>
      </c>
      <c r="B37" s="461"/>
      <c r="C37" s="462" t="str">
        <f>IF(NeoBerIV!C25&gt;0,NeoBerIV!C25/10&amp;" mg","")</f>
        <v/>
      </c>
      <c r="D37" s="462" t="str">
        <f>IF(NeoBerIV!D25&gt;0,"in "&amp;NeoBerIV!D25&amp;" ml","")</f>
        <v/>
      </c>
      <c r="E37" s="463"/>
      <c r="F37" s="461"/>
      <c r="G37" s="464" t="str">
        <f>IF(NeoBerIV!F25/10&gt;0,NeoBerIV!F25/10&amp;" ml/uur","")</f>
        <v/>
      </c>
      <c r="H37" s="456" t="str">
        <f>IF(AND(NeoBerIV!H25&gt;0),ROUND(NeoBerIV!H25,2),"")</f>
        <v/>
      </c>
      <c r="I37" s="456">
        <f>IF(_Neo_InfB_Medicament_1&gt;0,INDEX(tbl_Neo_MedIV,NeoBerIV!B25,6),"")</f>
        <v>0</v>
      </c>
      <c r="J37" s="465"/>
      <c r="K37" s="466">
        <f>INDEX(tbl_Neo_MedIV,NeoBerIV!B25,2)</f>
        <v>0</v>
      </c>
      <c r="L37" s="466"/>
      <c r="M37" s="467"/>
      <c r="N37" s="468" t="str">
        <f>IF(NeoBerIV!H25&gt;0,IF(NeoBerIV!X25*10&gt;1,NeoBerIV!W25&amp;" uren",NeoBerIV!W25&amp;" minuten"),"")</f>
        <v/>
      </c>
    </row>
    <row r="38" spans="1:14" ht="15.95" customHeight="1" x14ac:dyDescent="0.4">
      <c r="A38" s="451">
        <v>7</v>
      </c>
      <c r="B38" s="461"/>
      <c r="C38" s="462" t="str">
        <f>IF(NeoBerIV!C26&gt;0,NeoBerIV!C26/10&amp;" mg","")</f>
        <v/>
      </c>
      <c r="D38" s="462" t="str">
        <f>IF(NeoBerIV!D26&gt;0,"in "&amp;NeoBerIV!D26&amp;" ml","")</f>
        <v/>
      </c>
      <c r="E38" s="463"/>
      <c r="F38" s="461"/>
      <c r="G38" s="464" t="str">
        <f>IF(NeoBerIV!F26/10&gt;0,NeoBerIV!F26/10&amp;" ml/uur","")</f>
        <v/>
      </c>
      <c r="H38" s="456" t="str">
        <f>IF(AND(NeoBerIV!H26&gt;0),ROUND(NeoBerIV!H26,2),"")</f>
        <v/>
      </c>
      <c r="I38" s="456">
        <f>IF(_Neo_InfB_Medicament_1&gt;0,INDEX(tbl_Neo_MedIV,NeoBerIV!B26,6),"")</f>
        <v>0</v>
      </c>
      <c r="J38" s="465"/>
      <c r="K38" s="466">
        <f>INDEX(tbl_Neo_MedIV,NeoBerIV!B26,2)</f>
        <v>0</v>
      </c>
      <c r="L38" s="466"/>
      <c r="M38" s="467"/>
      <c r="N38" s="468" t="str">
        <f>IF(NeoBerIV!H26&gt;0,IF(NeoBerIV!X26*10&gt;1,NeoBerIV!W26&amp;" uren",NeoBerIV!W26&amp;" minuten"),"")</f>
        <v/>
      </c>
    </row>
    <row r="39" spans="1:14" ht="15.95" customHeight="1" x14ac:dyDescent="0.4">
      <c r="A39" s="451">
        <v>8</v>
      </c>
      <c r="B39" s="461"/>
      <c r="C39" s="462" t="str">
        <f>IF(NeoBerIV!C27&gt;0,NeoBerIV!C27/10&amp;" mg","")</f>
        <v/>
      </c>
      <c r="D39" s="462" t="str">
        <f>IF(NeoBerIV!D27&gt;0,"in "&amp;NeoBerIV!D27&amp;" ml","")</f>
        <v/>
      </c>
      <c r="E39" s="463"/>
      <c r="F39" s="461"/>
      <c r="G39" s="464" t="str">
        <f>IF(NeoBerIV!F27/10&gt;0,NeoBerIV!F27/10&amp;" ml/uur","")</f>
        <v/>
      </c>
      <c r="H39" s="456" t="str">
        <f>IF(AND(NeoBerIV!H27&gt;0),ROUND(NeoBerIV!H27,2),"")</f>
        <v/>
      </c>
      <c r="I39" s="456">
        <f>IF(_Neo_InfB_Medicament_1&gt;0,INDEX(tbl_Neo_MedIV,NeoBerIV!B27,6),"")</f>
        <v>0</v>
      </c>
      <c r="J39" s="465"/>
      <c r="K39" s="466">
        <f>INDEX(tbl_Neo_MedIV,NeoBerIV!B27,2)</f>
        <v>0</v>
      </c>
      <c r="L39" s="466"/>
      <c r="M39" s="467"/>
      <c r="N39" s="468" t="str">
        <f>IF(NeoBerIV!H27&gt;0,IF(NeoBerIV!X27*10&gt;1,NeoBerIV!W27&amp;" uren",NeoBerIV!W27&amp;" minuten"),"")</f>
        <v/>
      </c>
    </row>
    <row r="40" spans="1:14" ht="15.95" customHeight="1" x14ac:dyDescent="0.4">
      <c r="A40" s="451">
        <v>9</v>
      </c>
      <c r="B40" s="461"/>
      <c r="C40" s="462" t="str">
        <f>IF(NeoBerIV!C28&gt;0,NeoBerIV!C28/10&amp;" mg","")</f>
        <v/>
      </c>
      <c r="D40" s="462" t="str">
        <f>IF(NeoBerIV!D28&gt;0,"in "&amp;NeoBerIV!D28&amp;" ml","")</f>
        <v/>
      </c>
      <c r="E40" s="463"/>
      <c r="F40" s="455"/>
      <c r="G40" s="458" t="str">
        <f>IF(NeoBerIV!F28/10&gt;0,NeoBerIV!F28/10&amp;" ml/uur","")</f>
        <v/>
      </c>
      <c r="H40" s="456" t="str">
        <f>IF(AND(NeoBerIV!H28&gt;0),ROUND(NeoBerIV!H28,2),"")</f>
        <v/>
      </c>
      <c r="I40" s="456">
        <f>IF(_Neo_InfB_Medicament_1&gt;0,INDEX(tbl_Neo_MedIV,NeoBerIV!B28,6),"")</f>
        <v>0</v>
      </c>
      <c r="J40" s="439"/>
      <c r="K40" s="466">
        <f>INDEX(tbl_Neo_MedIV,NeoBerIV!B28,2)</f>
        <v>0</v>
      </c>
      <c r="L40" s="466"/>
      <c r="M40" s="467"/>
      <c r="N40" s="468" t="str">
        <f>IF(NeoBerIV!H28&gt;0,IF(NeoBerIV!X28*10&gt;1,NeoBerIV!W28&amp;" uren",NeoBerIV!W28&amp;" minuten"),"")</f>
        <v/>
      </c>
    </row>
    <row r="41" spans="1:14" ht="9.75" customHeight="1" x14ac:dyDescent="0.4">
      <c r="A41" s="451"/>
      <c r="B41" s="469"/>
      <c r="C41" s="470"/>
      <c r="D41" s="470"/>
      <c r="E41" s="469"/>
      <c r="F41" s="429"/>
      <c r="G41" s="454"/>
      <c r="H41" s="470"/>
      <c r="I41" s="429"/>
      <c r="J41" s="429"/>
      <c r="K41" s="471"/>
      <c r="L41" s="471"/>
      <c r="M41" s="472"/>
      <c r="N41" s="473"/>
    </row>
    <row r="42" spans="1:14" ht="15.95" customHeight="1" x14ac:dyDescent="0.4">
      <c r="A42" s="451">
        <v>10</v>
      </c>
      <c r="B42" s="474" t="s">
        <v>615</v>
      </c>
      <c r="C42" s="475"/>
      <c r="D42" s="475"/>
      <c r="E42" s="475"/>
      <c r="F42" s="475"/>
      <c r="G42" s="458" t="str">
        <f>IF(NeoBerIV!F29/10&gt;0,NeoBerIV!F29/10&amp;" ml/uur","")</f>
        <v/>
      </c>
      <c r="H42" s="476" t="str">
        <f>IF(NeoBerIV!H32&gt;0,"= "&amp;ROUND(NeoBerIV!H32,2),"")</f>
        <v/>
      </c>
      <c r="I42" s="476"/>
      <c r="J42" s="429"/>
      <c r="K42" s="440"/>
      <c r="L42" s="440"/>
      <c r="M42" s="477"/>
      <c r="N42" s="454"/>
    </row>
    <row r="43" spans="1:14" ht="15.95" customHeight="1" x14ac:dyDescent="0.4">
      <c r="A43" s="451">
        <v>11</v>
      </c>
      <c r="B43" s="474" t="s">
        <v>616</v>
      </c>
      <c r="C43" s="475"/>
      <c r="D43" s="475"/>
      <c r="E43" s="475"/>
      <c r="F43" s="475"/>
      <c r="G43" s="458" t="str">
        <f>IF(NeoBerIV!F30/10&gt;0,NeoBerIV!F30/10&amp;" ml/uur","")</f>
        <v/>
      </c>
      <c r="H43" s="476" t="str">
        <f>IF(NeoBerIV!H33&gt;0,"= "&amp;ROUND(NeoBerIV!H33,2),"")</f>
        <v/>
      </c>
      <c r="I43" s="476"/>
      <c r="J43" s="429"/>
      <c r="K43" s="440"/>
      <c r="L43" s="440"/>
      <c r="M43" s="477"/>
      <c r="N43" s="454"/>
    </row>
    <row r="44" spans="1:14" ht="15.95" customHeight="1" x14ac:dyDescent="0.4">
      <c r="A44" s="451">
        <v>12</v>
      </c>
      <c r="B44" s="474" t="s">
        <v>617</v>
      </c>
      <c r="C44" s="475"/>
      <c r="D44" s="475"/>
      <c r="E44" s="475"/>
      <c r="F44" s="475"/>
      <c r="G44" s="458" t="str">
        <f>IF(NeoBerIV!F31/10&gt;0,NeoBerIV!F31/10&amp;" ml/uur","")</f>
        <v/>
      </c>
      <c r="H44" s="476" t="str">
        <f>IF(NeoBerIV!H34&gt;0,"= "&amp;ROUND(NeoBerIV!H34,2),"")</f>
        <v/>
      </c>
      <c r="I44" s="476"/>
      <c r="J44" s="429"/>
      <c r="K44" s="440"/>
      <c r="L44" s="440"/>
      <c r="M44" s="477"/>
      <c r="N44" s="454"/>
    </row>
    <row r="45" spans="1:14" ht="15.95" customHeight="1" x14ac:dyDescent="0.4">
      <c r="A45" s="451">
        <v>13</v>
      </c>
      <c r="B45" s="464" t="str">
        <f>IF(_Neo_InfB_MedTekst_1="","",_Neo_InfB_MedTekst_1)</f>
        <v/>
      </c>
      <c r="C45" s="462"/>
      <c r="D45" s="462"/>
      <c r="E45" s="462"/>
      <c r="F45" s="462"/>
      <c r="G45" s="462"/>
      <c r="H45" s="456"/>
      <c r="I45" s="456"/>
      <c r="J45" s="429"/>
      <c r="K45" s="440"/>
      <c r="L45" s="440"/>
      <c r="M45" s="477"/>
      <c r="N45" s="454"/>
    </row>
    <row r="46" spans="1:14" ht="15.95" customHeight="1" x14ac:dyDescent="0.4">
      <c r="A46" s="451">
        <v>14</v>
      </c>
      <c r="B46" s="452" t="str">
        <f>IF(_Neo_InfB_MedTekst_2="","",_Neo_InfB_MedTekst_2)</f>
        <v/>
      </c>
      <c r="C46" s="478"/>
      <c r="D46" s="478"/>
      <c r="E46" s="478"/>
      <c r="F46" s="478"/>
      <c r="G46" s="478"/>
      <c r="H46" s="478"/>
      <c r="I46" s="478"/>
      <c r="J46" s="429"/>
      <c r="K46" s="440"/>
      <c r="L46" s="440"/>
      <c r="M46" s="477"/>
      <c r="N46" s="454"/>
    </row>
    <row r="47" spans="1:14" ht="15.95" customHeight="1" x14ac:dyDescent="0.35">
      <c r="D47" s="432"/>
      <c r="K47" s="479" t="s">
        <v>602</v>
      </c>
      <c r="L47" s="479"/>
    </row>
    <row r="48" spans="1:14" ht="15.95" customHeight="1" x14ac:dyDescent="0.4">
      <c r="B48" s="433"/>
      <c r="C48" s="434"/>
      <c r="D48" s="480"/>
      <c r="E48" s="481" t="str">
        <f ca="1">IF(NeoBerIV!C35&gt;0,NeoBerIV!C35&amp;" ml","")</f>
        <v/>
      </c>
      <c r="F48" s="432" t="str">
        <f ca="1">IF(E48&lt;&gt;"",ROUND(NeoBerIV!C35/(_Pat_Gewicht/10),0)&amp;" ml/ kg","")</f>
        <v/>
      </c>
      <c r="K48" s="438" t="str">
        <f ca="1">IF(NeoBerIV!B35&gt;0,NeoBerIV!B35&amp;" ml","")</f>
        <v/>
      </c>
      <c r="L48" s="438"/>
      <c r="M48" s="439"/>
    </row>
    <row r="49" spans="1:13" ht="12" customHeight="1" x14ac:dyDescent="0.4">
      <c r="B49" s="430"/>
      <c r="C49" s="429"/>
      <c r="D49" s="476"/>
      <c r="E49" s="454"/>
    </row>
    <row r="50" spans="1:13" ht="15.75" customHeight="1" x14ac:dyDescent="0.35">
      <c r="B50" s="482"/>
    </row>
    <row r="51" spans="1:13" ht="15.95" customHeight="1" x14ac:dyDescent="0.4">
      <c r="B51" s="424" t="s">
        <v>619</v>
      </c>
    </row>
    <row r="52" spans="1:13" ht="15.75" customHeight="1" x14ac:dyDescent="0.4">
      <c r="B52" s="483" t="s">
        <v>359</v>
      </c>
      <c r="C52" s="439"/>
      <c r="D52" s="439"/>
      <c r="E52" s="484" t="str">
        <f ca="1">IF(NeoBerIV!$D$36=1,NeoBerIV!C37&amp;" ml","")</f>
        <v>0 ml</v>
      </c>
      <c r="F52" s="439"/>
      <c r="G52" s="439"/>
      <c r="H52" s="439"/>
      <c r="I52" s="484" t="str">
        <f>IF(NeoBerIV!$D$36=3,NeoBerIV!C37&amp;" ml","")</f>
        <v/>
      </c>
      <c r="J52" s="439"/>
      <c r="K52" s="438" t="str">
        <f ca="1">IF(NeoBerIV!B37&gt;0,NeoBerIV!B37&amp;" ml","")</f>
        <v/>
      </c>
      <c r="L52" s="438"/>
      <c r="M52" s="439"/>
    </row>
    <row r="53" spans="1:13" ht="15.95" customHeight="1" x14ac:dyDescent="0.4">
      <c r="B53" s="485" t="s">
        <v>620</v>
      </c>
      <c r="C53" s="465"/>
      <c r="D53" s="465"/>
      <c r="E53" s="486" t="str">
        <f ca="1">IF(NeoBerIV!$D$36=1,NeoBerIV!C38&amp;" ml","")</f>
        <v>0 ml</v>
      </c>
      <c r="F53" s="465"/>
      <c r="G53" s="465"/>
      <c r="H53" s="465"/>
      <c r="I53" s="486" t="str">
        <f>IF(NeoBerIV!$D$36=3,NeoBerIV!C38&amp;" ml","")</f>
        <v/>
      </c>
      <c r="J53" s="465"/>
      <c r="K53" s="466" t="str">
        <f ca="1">IF(NeoBerIV!B38&gt;0,NeoBerIV!B38&amp;" ml","")</f>
        <v/>
      </c>
      <c r="L53" s="466"/>
      <c r="M53" s="466"/>
    </row>
    <row r="54" spans="1:13" ht="15.95" customHeight="1" x14ac:dyDescent="0.4">
      <c r="B54" s="485" t="s">
        <v>621</v>
      </c>
      <c r="C54" s="465"/>
      <c r="D54" s="465"/>
      <c r="E54" s="486" t="str">
        <f ca="1">IF(NeoBerIV!$D$36=1,NeoBerIV!C39&amp;" ml","")</f>
        <v>0 ml</v>
      </c>
      <c r="F54" s="465"/>
      <c r="G54" s="465"/>
      <c r="H54" s="465"/>
      <c r="I54" s="465"/>
      <c r="J54" s="465"/>
      <c r="K54" s="466" t="str">
        <f ca="1">IF(NeoBerIV!B39&gt;0,NeoBerIV!B39&amp;" ml","")</f>
        <v>30 ml</v>
      </c>
      <c r="L54" s="466"/>
      <c r="M54" s="466"/>
    </row>
    <row r="55" spans="1:13" ht="15.95" customHeight="1" x14ac:dyDescent="0.4">
      <c r="B55" s="485" t="s">
        <v>622</v>
      </c>
      <c r="C55" s="465"/>
      <c r="D55" s="465"/>
      <c r="E55" s="486" t="str">
        <f ca="1">IF(NeoBerIV!$D$36=1,NeoBerIV!C40&amp;" ml","")</f>
        <v>0 ml</v>
      </c>
      <c r="F55" s="465"/>
      <c r="G55" s="465"/>
      <c r="H55" s="465"/>
      <c r="I55" s="465"/>
      <c r="J55" s="465"/>
      <c r="K55" s="466" t="str">
        <f ca="1">IF(NeoBerIV!B40&gt;0,NeoBerIV!B40&amp;" ml","")</f>
        <v>3 ml</v>
      </c>
      <c r="L55" s="466"/>
      <c r="M55" s="466"/>
    </row>
    <row r="56" spans="1:13" ht="15.95" customHeight="1" x14ac:dyDescent="0.4">
      <c r="B56" s="485" t="s">
        <v>217</v>
      </c>
      <c r="C56" s="465"/>
      <c r="D56" s="465"/>
      <c r="E56" s="486" t="str">
        <f ca="1">IF(NeoBerIV!$D$36=1,NeoBerIV!C41&amp;" ml","")</f>
        <v>0 ml</v>
      </c>
      <c r="F56" s="465"/>
      <c r="G56" s="465"/>
      <c r="H56" s="465"/>
      <c r="I56" s="465"/>
      <c r="J56" s="465"/>
      <c r="K56" s="466" t="str">
        <f ca="1">IF(NeoBerIV!B41&gt;0,NeoBerIV!B41&amp;" ml","")</f>
        <v/>
      </c>
      <c r="L56" s="466"/>
      <c r="M56" s="466"/>
    </row>
    <row r="57" spans="1:13" ht="15.95" customHeight="1" x14ac:dyDescent="0.4">
      <c r="B57" s="485" t="s">
        <v>577</v>
      </c>
      <c r="C57" s="465"/>
      <c r="D57" s="465"/>
      <c r="E57" s="486" t="str">
        <f ca="1">IF(NeoBerIV!$D$36=1,NeoBerIV!C42&amp;" ml","")</f>
        <v>0 ml</v>
      </c>
      <c r="F57" s="465"/>
      <c r="G57" s="465"/>
      <c r="H57" s="465"/>
      <c r="I57" s="465"/>
      <c r="J57" s="465"/>
      <c r="K57" s="466" t="str">
        <f ca="1">IF(NeoBerIV!B42&gt;0,NeoBerIV!B42&amp;" ml","")</f>
        <v/>
      </c>
      <c r="L57" s="466"/>
      <c r="M57" s="466"/>
    </row>
    <row r="58" spans="1:13" ht="15.95" customHeight="1" x14ac:dyDescent="0.4">
      <c r="B58" s="485" t="s">
        <v>578</v>
      </c>
      <c r="C58" s="465"/>
      <c r="D58" s="465"/>
      <c r="E58" s="465"/>
      <c r="F58" s="465"/>
      <c r="G58" s="486" t="str">
        <f>IF(NeoBerIV!D36=2,NeoBerIV!C43&amp;" ml","")</f>
        <v/>
      </c>
      <c r="H58" s="487" t="str">
        <f>IF(G58&lt;&gt;"","("&amp;ROUND(NeoBerIV!C43/(_Pat_Gewicht/10),0)&amp;" ml/kg)","")</f>
        <v/>
      </c>
      <c r="I58" s="465"/>
      <c r="J58" s="465"/>
      <c r="K58" s="466" t="str">
        <f ca="1">IF(NeoBerIV!B43&gt;0,NeoBerIV!B43&amp;" ml","")</f>
        <v/>
      </c>
      <c r="L58" s="466"/>
      <c r="M58" s="466"/>
    </row>
    <row r="59" spans="1:13" ht="15.95" customHeight="1" x14ac:dyDescent="0.4">
      <c r="B59" s="485" t="s">
        <v>357</v>
      </c>
      <c r="C59" s="465"/>
      <c r="D59" s="465"/>
      <c r="E59" s="465"/>
      <c r="F59" s="465"/>
      <c r="G59" s="465"/>
      <c r="H59" s="465"/>
      <c r="I59" s="486" t="str">
        <f>IF(NeoBerIV!$D$36=3,NeoBerIV!C44&amp;" ml","")</f>
        <v/>
      </c>
      <c r="J59" s="487" t="str">
        <f>IF(I59&lt;&gt;"","("&amp;ROUND(NeoBerIV!C44/(_Pat_Gewicht/10),0)&amp;" ml/kg)","")</f>
        <v/>
      </c>
      <c r="K59" s="466" t="str">
        <f ca="1">IF(NeoBerIV!B44&gt;0,NeoBerIV!B44&amp;" ml","")</f>
        <v/>
      </c>
      <c r="L59" s="466"/>
      <c r="M59" s="466"/>
    </row>
    <row r="60" spans="1:13" ht="20.100000000000001" customHeight="1" x14ac:dyDescent="0.4">
      <c r="B60" s="465"/>
      <c r="C60" s="465"/>
      <c r="D60" s="465"/>
      <c r="E60" s="488">
        <f>IF(NeoBerIV!D36=1,NeoBerIV!K45,"")</f>
        <v>0</v>
      </c>
      <c r="F60" s="465" t="str">
        <f>IF(E60&lt;&gt;"","ml","")</f>
        <v>ml</v>
      </c>
      <c r="G60" s="488" t="str">
        <f>IF(NeoBerIV!D36=2,NeoBerIV!K45,"")</f>
        <v/>
      </c>
      <c r="H60" s="465" t="str">
        <f>IF(G60&lt;&gt;"","ml","")</f>
        <v/>
      </c>
      <c r="I60" s="488" t="str">
        <f>IF(NeoBerIV!D36=3,NeoBerIV!K45,"")</f>
        <v/>
      </c>
      <c r="J60" s="465" t="str">
        <f>IF(I60&lt;&gt;"","ml","")</f>
        <v/>
      </c>
      <c r="K60" s="466"/>
      <c r="L60" s="466"/>
      <c r="M60" s="466"/>
    </row>
    <row r="63" spans="1:13" ht="15.95" customHeight="1" x14ac:dyDescent="0.35">
      <c r="B63" s="434"/>
      <c r="C63" s="434"/>
      <c r="D63" s="434"/>
      <c r="E63" s="434"/>
      <c r="F63" s="434"/>
      <c r="G63" s="434"/>
      <c r="H63" s="434"/>
      <c r="I63" s="434"/>
      <c r="J63" s="434"/>
      <c r="K63" s="429"/>
      <c r="L63" s="429"/>
      <c r="M63" s="429"/>
    </row>
    <row r="64" spans="1:13" ht="15.95" customHeight="1" x14ac:dyDescent="0.35">
      <c r="A64" s="538"/>
      <c r="B64" s="539" t="s">
        <v>128</v>
      </c>
      <c r="C64" s="540"/>
      <c r="D64" s="540"/>
      <c r="E64" s="540"/>
      <c r="F64" s="540"/>
      <c r="G64" s="540"/>
      <c r="H64" s="540"/>
      <c r="I64" s="540"/>
      <c r="J64" s="540"/>
      <c r="K64" s="429"/>
      <c r="L64" s="429"/>
      <c r="M64" s="429"/>
    </row>
    <row r="65" spans="1:10" ht="12.85" x14ac:dyDescent="0.35">
      <c r="A65" s="541"/>
      <c r="B65" s="541"/>
      <c r="C65" s="425" t="s">
        <v>404</v>
      </c>
      <c r="D65" s="425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425"/>
      <c r="F65" s="425"/>
      <c r="G65" s="425"/>
      <c r="H65" s="425"/>
      <c r="I65" s="425"/>
      <c r="J65" s="425"/>
    </row>
    <row r="66" spans="1:10" s="537" customFormat="1" ht="12.85" x14ac:dyDescent="0.3">
      <c r="A66" s="542"/>
      <c r="B66" s="542"/>
      <c r="C66" s="425" t="s">
        <v>770</v>
      </c>
      <c r="D66" s="425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425"/>
      <c r="F66" s="425"/>
      <c r="G66" s="425"/>
      <c r="H66" s="425"/>
      <c r="I66" s="425"/>
      <c r="J66" s="425"/>
    </row>
    <row r="67" spans="1:10" s="537" customFormat="1" ht="12.85" x14ac:dyDescent="0.3">
      <c r="A67" s="542"/>
      <c r="B67" s="542"/>
      <c r="C67" s="425" t="s">
        <v>771</v>
      </c>
      <c r="D67" s="425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425"/>
      <c r="F67" s="425"/>
      <c r="G67" s="425"/>
      <c r="H67" s="425"/>
      <c r="I67" s="425"/>
      <c r="J67" s="425"/>
    </row>
    <row r="68" spans="1:10" s="537" customFormat="1" ht="12.85" x14ac:dyDescent="0.3">
      <c r="A68" s="542"/>
      <c r="B68" s="542"/>
      <c r="C68" s="425" t="s">
        <v>772</v>
      </c>
      <c r="D68" s="425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425"/>
      <c r="F68" s="425"/>
      <c r="G68" s="425"/>
      <c r="H68" s="425"/>
      <c r="I68" s="425"/>
      <c r="J68" s="425"/>
    </row>
    <row r="69" spans="1:10" s="537" customFormat="1" ht="12.85" x14ac:dyDescent="0.3">
      <c r="A69" s="542"/>
      <c r="B69" s="542"/>
      <c r="C69" s="425" t="s">
        <v>160</v>
      </c>
      <c r="D69" s="425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425"/>
      <c r="F69" s="425"/>
      <c r="G69" s="425"/>
      <c r="H69" s="425"/>
      <c r="I69" s="425"/>
      <c r="J69" s="425"/>
    </row>
    <row r="70" spans="1:10" s="537" customFormat="1" ht="12.85" x14ac:dyDescent="0.3">
      <c r="A70" s="542"/>
      <c r="B70" s="542"/>
      <c r="C70" s="425" t="s">
        <v>773</v>
      </c>
      <c r="D70" s="425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425"/>
      <c r="F70" s="425"/>
      <c r="G70" s="425"/>
      <c r="H70" s="425"/>
      <c r="I70" s="425"/>
      <c r="J70" s="425"/>
    </row>
    <row r="71" spans="1:10" s="537" customFormat="1" ht="12.85" x14ac:dyDescent="0.3">
      <c r="A71" s="542"/>
      <c r="B71" s="542"/>
      <c r="C71" s="425" t="s">
        <v>1181</v>
      </c>
      <c r="D71" s="425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425"/>
      <c r="F71" s="425"/>
      <c r="G71" s="425"/>
      <c r="H71" s="425"/>
      <c r="I71" s="425"/>
      <c r="J71" s="425"/>
    </row>
    <row r="72" spans="1:10" s="537" customFormat="1" ht="12.85" x14ac:dyDescent="0.3">
      <c r="A72" s="542"/>
      <c r="B72" s="542"/>
      <c r="C72" s="425" t="s">
        <v>1183</v>
      </c>
      <c r="D72" s="425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425"/>
      <c r="F72" s="425"/>
      <c r="G72" s="425"/>
      <c r="H72" s="425"/>
      <c r="I72" s="425"/>
      <c r="J72" s="425"/>
    </row>
    <row r="73" spans="1:10" s="537" customFormat="1" ht="12.85" x14ac:dyDescent="0.3">
      <c r="A73" s="542"/>
      <c r="B73" s="542"/>
      <c r="C73" s="425" t="s">
        <v>1182</v>
      </c>
      <c r="D73" s="425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425"/>
      <c r="F73" s="425"/>
      <c r="G73" s="425"/>
      <c r="H73" s="425"/>
      <c r="I73" s="425"/>
      <c r="J73" s="425"/>
    </row>
    <row r="74" spans="1:10" ht="15.95" customHeight="1" x14ac:dyDescent="0.35">
      <c r="A74" s="541"/>
      <c r="B74" s="541"/>
      <c r="C74" s="425" t="s">
        <v>315</v>
      </c>
      <c r="D74" s="932" t="str">
        <f>IF(_Neo_Lab_Opm=0,"",_Neo_Lab_Opm)</f>
        <v/>
      </c>
      <c r="E74" s="932"/>
      <c r="F74" s="932"/>
      <c r="G74" s="932"/>
      <c r="H74" s="932"/>
      <c r="I74" s="932"/>
      <c r="J74" s="932"/>
    </row>
    <row r="75" spans="1:10" ht="15.95" customHeight="1" x14ac:dyDescent="0.35">
      <c r="A75" s="540"/>
      <c r="B75" s="540"/>
      <c r="C75" s="543"/>
      <c r="D75" s="933"/>
      <c r="E75" s="933"/>
      <c r="F75" s="933"/>
      <c r="G75" s="933"/>
      <c r="H75" s="933"/>
      <c r="I75" s="933"/>
      <c r="J75" s="933"/>
    </row>
  </sheetData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IF(NeoBerIV!B20&gt;1,IF(AND(H32&lt;&gt;"",H32&gt;=INDEX(tbl_Neo_MedIV,NeoBerIV!B20,9)),TRUE,FALSE),FALSE)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IF(AND(C32&lt;&gt;0,G32&lt;&gt;""),IF(AND(H32&gt;=INDEX(tbl_Neo_MedIV,NeoBerIV!$B20,7),H32&lt;=INDEX(tbl_Neo_MedIV,NeoBerIV!$B20,8)),TRUE,FALSE),TRUE)=FALSE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V">
    <tabColor rgb="FF92D050"/>
  </sheetPr>
  <dimension ref="A1:X116"/>
  <sheetViews>
    <sheetView workbookViewId="0">
      <pane xSplit="1" ySplit="1" topLeftCell="B53" activePane="bottomRight" state="frozenSplit"/>
      <selection activeCell="J34" sqref="J34"/>
      <selection pane="topRight" activeCell="J34" sqref="J34"/>
      <selection pane="bottomLeft" activeCell="J34" sqref="J34"/>
      <selection pane="bottomRight" activeCell="B73" sqref="B73"/>
    </sheetView>
  </sheetViews>
  <sheetFormatPr defaultColWidth="9.1328125" defaultRowHeight="12.85" x14ac:dyDescent="0.35"/>
  <cols>
    <col min="1" max="1" width="40.1328125" style="271" customWidth="1"/>
    <col min="2" max="3" width="13.86328125" style="271" customWidth="1"/>
    <col min="4" max="4" width="11.73046875" style="271" customWidth="1"/>
    <col min="5" max="5" width="10.73046875" style="271" customWidth="1"/>
    <col min="6" max="6" width="10" style="271" customWidth="1"/>
    <col min="7" max="7" width="10.73046875" style="271" bestFit="1" customWidth="1"/>
    <col min="8" max="8" width="12.3984375" style="271" bestFit="1" customWidth="1"/>
    <col min="9" max="11" width="9.1328125" style="271"/>
    <col min="12" max="12" width="13.265625" style="271" bestFit="1" customWidth="1"/>
    <col min="13" max="16384" width="9.1328125" style="271"/>
  </cols>
  <sheetData>
    <row r="1" spans="1:24" x14ac:dyDescent="0.35">
      <c r="A1" s="576" t="s">
        <v>28</v>
      </c>
      <c r="B1" s="271" t="s">
        <v>320</v>
      </c>
      <c r="C1" s="271" t="s">
        <v>664</v>
      </c>
      <c r="E1" s="271" t="s">
        <v>200</v>
      </c>
      <c r="J1" s="271" t="s">
        <v>560</v>
      </c>
      <c r="K1" s="271" t="s">
        <v>335</v>
      </c>
      <c r="L1" s="271" t="s">
        <v>248</v>
      </c>
      <c r="M1" s="271" t="s">
        <v>249</v>
      </c>
      <c r="N1" s="271" t="s">
        <v>250</v>
      </c>
      <c r="O1" s="271" t="s">
        <v>251</v>
      </c>
      <c r="P1" s="271" t="s">
        <v>583</v>
      </c>
      <c r="Q1" s="271" t="s">
        <v>246</v>
      </c>
      <c r="R1" s="271" t="s">
        <v>584</v>
      </c>
      <c r="S1" s="271" t="s">
        <v>585</v>
      </c>
      <c r="T1" s="271" t="s">
        <v>586</v>
      </c>
      <c r="U1" s="271" t="s">
        <v>637</v>
      </c>
      <c r="V1" s="271" t="s">
        <v>595</v>
      </c>
      <c r="W1" s="271" t="s">
        <v>614</v>
      </c>
      <c r="X1" s="271" t="s">
        <v>665</v>
      </c>
    </row>
    <row r="2" spans="1:24" x14ac:dyDescent="0.35">
      <c r="A2" s="271" t="s">
        <v>550</v>
      </c>
      <c r="B2" s="271" t="str">
        <f>__1_Bed</f>
        <v>Unit 1.2</v>
      </c>
    </row>
    <row r="3" spans="1:24" x14ac:dyDescent="0.35">
      <c r="A3" s="271" t="s">
        <v>599</v>
      </c>
      <c r="B3" s="497">
        <f>__4_GebDatum</f>
        <v>42736</v>
      </c>
      <c r="C3" s="492">
        <v>0</v>
      </c>
      <c r="E3" s="271" t="s">
        <v>666</v>
      </c>
      <c r="F3" s="271">
        <f>__0_PatNum</f>
        <v>123456</v>
      </c>
    </row>
    <row r="4" spans="1:24" x14ac:dyDescent="0.35">
      <c r="A4" s="271" t="s">
        <v>570</v>
      </c>
      <c r="B4" s="515">
        <f>_Pat_Gewicht/10</f>
        <v>10</v>
      </c>
      <c r="C4" s="288" t="s">
        <v>667</v>
      </c>
      <c r="D4" s="496">
        <v>30</v>
      </c>
    </row>
    <row r="5" spans="1:24" x14ac:dyDescent="0.35">
      <c r="A5" s="271" t="s">
        <v>328</v>
      </c>
      <c r="B5" s="497">
        <f>_Pat_OpnDatum</f>
        <v>42736</v>
      </c>
      <c r="C5" s="288" t="s">
        <v>668</v>
      </c>
      <c r="D5" s="496">
        <v>0</v>
      </c>
    </row>
    <row r="6" spans="1:24" x14ac:dyDescent="0.35">
      <c r="A6" s="576" t="s">
        <v>669</v>
      </c>
      <c r="B6" s="492">
        <f ca="1">TODAY()-B3+1+C3</f>
        <v>1</v>
      </c>
      <c r="C6" s="271">
        <f ca="1">IF(B6&lt;7,B6,6)</f>
        <v>1</v>
      </c>
    </row>
    <row r="7" spans="1:24" x14ac:dyDescent="0.35">
      <c r="A7" s="271" t="s">
        <v>200</v>
      </c>
    </row>
    <row r="8" spans="1:24" x14ac:dyDescent="0.35">
      <c r="A8" s="271" t="s">
        <v>603</v>
      </c>
    </row>
    <row r="9" spans="1:24" x14ac:dyDescent="0.35">
      <c r="A9" s="271" t="s">
        <v>670</v>
      </c>
    </row>
    <row r="10" spans="1:24" x14ac:dyDescent="0.35">
      <c r="A10" s="271" t="s">
        <v>319</v>
      </c>
      <c r="D10" s="271">
        <v>0</v>
      </c>
    </row>
    <row r="11" spans="1:24" x14ac:dyDescent="0.35">
      <c r="A11" s="271" t="s">
        <v>606</v>
      </c>
      <c r="D11" s="271">
        <v>0</v>
      </c>
      <c r="L11" s="271">
        <v>2</v>
      </c>
      <c r="M11" s="271">
        <v>3</v>
      </c>
      <c r="N11" s="271">
        <v>4</v>
      </c>
      <c r="O11" s="271">
        <v>5</v>
      </c>
      <c r="P11" s="271">
        <v>6</v>
      </c>
      <c r="Q11" s="271">
        <v>7</v>
      </c>
      <c r="R11" s="271">
        <v>8</v>
      </c>
      <c r="S11" s="271">
        <v>9</v>
      </c>
      <c r="T11" s="271">
        <v>10</v>
      </c>
      <c r="U11" s="271">
        <v>11</v>
      </c>
      <c r="V11" s="271">
        <v>12</v>
      </c>
    </row>
    <row r="12" spans="1:24" x14ac:dyDescent="0.35">
      <c r="A12" s="271" t="s">
        <v>319</v>
      </c>
      <c r="D12" s="271">
        <v>0</v>
      </c>
    </row>
    <row r="13" spans="1:24" x14ac:dyDescent="0.35">
      <c r="A13" s="271" t="s">
        <v>606</v>
      </c>
      <c r="D13" s="271">
        <v>0</v>
      </c>
    </row>
    <row r="14" spans="1:24" x14ac:dyDescent="0.35">
      <c r="A14" s="271" t="s">
        <v>307</v>
      </c>
      <c r="D14" s="271">
        <v>7</v>
      </c>
      <c r="J14" s="271">
        <v>2</v>
      </c>
      <c r="K14" s="271">
        <f>IF(AND(_Neo_InfB_VochtExtra_01=2,_Neo_InfB_Voeding&gt;1),(D10*D11+D12*D13)/10,0)</f>
        <v>0</v>
      </c>
      <c r="L14" s="271">
        <f t="shared" ref="L14:V14" si="0">INDEX(tbl_Neo_Pos,$D$14,L11)*$K$14</f>
        <v>0</v>
      </c>
      <c r="M14" s="271">
        <f t="shared" si="0"/>
        <v>0</v>
      </c>
      <c r="N14" s="271">
        <f t="shared" si="0"/>
        <v>0</v>
      </c>
      <c r="O14" s="271">
        <f t="shared" si="0"/>
        <v>0</v>
      </c>
      <c r="P14" s="271">
        <f t="shared" si="0"/>
        <v>0</v>
      </c>
      <c r="Q14" s="271">
        <f t="shared" si="0"/>
        <v>0</v>
      </c>
      <c r="R14" s="271">
        <f t="shared" si="0"/>
        <v>0</v>
      </c>
      <c r="S14" s="271">
        <f t="shared" si="0"/>
        <v>0</v>
      </c>
      <c r="T14" s="271">
        <f t="shared" si="0"/>
        <v>0</v>
      </c>
      <c r="U14" s="271">
        <f t="shared" si="0"/>
        <v>0</v>
      </c>
      <c r="V14" s="271">
        <f t="shared" si="0"/>
        <v>0</v>
      </c>
    </row>
    <row r="15" spans="1:24" x14ac:dyDescent="0.35">
      <c r="A15" s="271" t="s">
        <v>605</v>
      </c>
      <c r="B15" s="271">
        <v>2</v>
      </c>
    </row>
    <row r="16" spans="1:24" x14ac:dyDescent="0.35">
      <c r="A16" s="271" t="s">
        <v>671</v>
      </c>
      <c r="B16" s="271">
        <f ca="1">IF(AND(D4&lt;37,(_Pat_Gewicht/10)&gt;=1),INDEX(NeoBerAdvies!B4:G4,1,NeoBerIV!C6),IF((_Pat_Gewicht/10)&lt;1,INDEX(NeoBerAdvies!B5:G5,1,NeoBerIV!C6),INDEX(NeoBerAdvies!B6:G6,1,NeoBerIV!C6)))+IF(B15=1,20,0)</f>
        <v>50</v>
      </c>
      <c r="C16" s="271">
        <f ca="1">ROUND(B16/5,0)*5+(D16-5000)</f>
        <v>50</v>
      </c>
      <c r="D16" s="271">
        <v>5000</v>
      </c>
    </row>
    <row r="17" spans="1:24" x14ac:dyDescent="0.35">
      <c r="A17" s="271" t="s">
        <v>672</v>
      </c>
      <c r="B17" s="271" t="b">
        <v>0</v>
      </c>
      <c r="C17" s="271">
        <f ca="1">ROUND(C16*(_Pat_Gewicht/10)-K14,0)</f>
        <v>500</v>
      </c>
    </row>
    <row r="18" spans="1:24" x14ac:dyDescent="0.35">
      <c r="A18" s="271" t="s">
        <v>779</v>
      </c>
      <c r="B18" s="271">
        <v>0</v>
      </c>
      <c r="J18" s="271" t="b">
        <v>0</v>
      </c>
      <c r="K18" s="271">
        <f>IF(J18,0,B18*2.4)</f>
        <v>0</v>
      </c>
      <c r="L18" s="271">
        <f>0.155*K18/2</f>
        <v>0</v>
      </c>
    </row>
    <row r="19" spans="1:24" x14ac:dyDescent="0.35">
      <c r="B19" s="271" t="s">
        <v>634</v>
      </c>
      <c r="C19" s="271" t="s">
        <v>673</v>
      </c>
      <c r="D19" s="271" t="s">
        <v>674</v>
      </c>
      <c r="E19" s="271" t="s">
        <v>165</v>
      </c>
      <c r="F19" s="271" t="s">
        <v>52</v>
      </c>
      <c r="G19" s="271" t="s">
        <v>356</v>
      </c>
      <c r="H19" s="271" t="s">
        <v>676</v>
      </c>
      <c r="I19" s="271" t="s">
        <v>636</v>
      </c>
    </row>
    <row r="20" spans="1:24" x14ac:dyDescent="0.35">
      <c r="A20" s="271" t="s">
        <v>677</v>
      </c>
      <c r="B20" s="271">
        <v>1</v>
      </c>
      <c r="C20" s="271">
        <v>0</v>
      </c>
      <c r="D20" s="271">
        <v>0</v>
      </c>
      <c r="E20" s="271">
        <v>1</v>
      </c>
      <c r="F20" s="271">
        <v>0</v>
      </c>
      <c r="G20" s="271">
        <f>IF(INDEX(tbl_Neo_MedIV,NeoBerIV!B20,5)=0,1,INDEX(tbl_Neo_MedIV,NeoBerIV!B20,5))</f>
        <v>1</v>
      </c>
      <c r="H20" s="271">
        <f t="shared" ref="H20:H28" si="1">IF(D20&gt;0,(F20*IF(X20*10&gt;=24,2.4,2.4)*((C20/10)/D20))/($B$4)/I20,0)</f>
        <v>0</v>
      </c>
      <c r="I20" s="271">
        <f>IF(NeoBerIV!G20&gt;1,INDEX(NeoTblLijst!$K$3:$K$11,NeoBerIV!G20),1)</f>
        <v>1</v>
      </c>
      <c r="J20" s="271">
        <v>0</v>
      </c>
      <c r="K20" s="271">
        <f t="shared" ref="K20:K31" si="2">IF(J20,0,F20*2.4)</f>
        <v>0</v>
      </c>
      <c r="L20" s="271">
        <f t="shared" ref="L20:L31" si="3">IF($E20&gt;1,INDEX(tbl_Neo_Opl,$E20,3),0)*$K20</f>
        <v>0</v>
      </c>
      <c r="M20" s="271">
        <f t="shared" ref="M20:M31" si="4">IF($E20&gt;1,INDEX(tbl_Neo_Opl,$E20,4),0)*$K20</f>
        <v>0</v>
      </c>
      <c r="N20" s="271">
        <f t="shared" ref="N20:N31" si="5">IF($E20&gt;1,INDEX(tbl_Neo_Opl,$E20,6),0)*$K20</f>
        <v>0</v>
      </c>
      <c r="O20" s="271">
        <f t="shared" ref="O20:O31" si="6">IF($E20&gt;1,INDEX(tbl_Neo_Opl,$E20,7),0)*$K20</f>
        <v>0</v>
      </c>
      <c r="P20" s="271">
        <f t="shared" ref="P20:P31" si="7">IF($E20&gt;1,INDEX(tbl_Neo_Opl,$E20,8),0)*$K20</f>
        <v>0</v>
      </c>
      <c r="Q20" s="271">
        <f t="shared" ref="Q20:Q31" si="8">IF($E20&gt;1,INDEX(tbl_Neo_Opl,$E20,5),0)*$K20</f>
        <v>0</v>
      </c>
      <c r="R20" s="271">
        <f t="shared" ref="R20:R31" si="9">IF($E20&gt;1,INDEX(tbl_Neo_Opl,$E20,2),0)*$K20</f>
        <v>0</v>
      </c>
      <c r="W20" s="271">
        <f>ROUND(IF(X20*10&gt;1,X20*10,X20*600),0)</f>
        <v>0</v>
      </c>
      <c r="X20" s="271">
        <f t="shared" ref="X20:X31" si="10">IF(F20&gt;0,D20/F20,0)</f>
        <v>0</v>
      </c>
    </row>
    <row r="21" spans="1:24" x14ac:dyDescent="0.35">
      <c r="A21" s="271" t="s">
        <v>678</v>
      </c>
      <c r="B21" s="271">
        <v>1</v>
      </c>
      <c r="C21" s="271">
        <v>0</v>
      </c>
      <c r="D21" s="271">
        <v>0</v>
      </c>
      <c r="E21" s="271">
        <v>1</v>
      </c>
      <c r="F21" s="271">
        <v>0</v>
      </c>
      <c r="G21" s="271">
        <f>IF(INDEX(tbl_Neo_MedIV,NeoBerIV!B21,5)=0,1,INDEX(tbl_Neo_MedIV,NeoBerIV!B21,5))</f>
        <v>1</v>
      </c>
      <c r="H21" s="271">
        <f t="shared" si="1"/>
        <v>0</v>
      </c>
      <c r="I21" s="816">
        <f>IF(NeoBerIV!G21&gt;1,INDEX(NeoTblLijst!$K$3:$K$11,NeoBerIV!G21),1)</f>
        <v>1</v>
      </c>
      <c r="J21" s="271">
        <v>0</v>
      </c>
      <c r="K21" s="271">
        <f t="shared" si="2"/>
        <v>0</v>
      </c>
      <c r="L21" s="271">
        <f t="shared" si="3"/>
        <v>0</v>
      </c>
      <c r="M21" s="271">
        <f t="shared" si="4"/>
        <v>0</v>
      </c>
      <c r="N21" s="271">
        <f t="shared" si="5"/>
        <v>0</v>
      </c>
      <c r="O21" s="271">
        <f t="shared" si="6"/>
        <v>0</v>
      </c>
      <c r="P21" s="271">
        <f t="shared" si="7"/>
        <v>0</v>
      </c>
      <c r="Q21" s="271">
        <f t="shared" si="8"/>
        <v>0</v>
      </c>
      <c r="R21" s="271">
        <f t="shared" si="9"/>
        <v>0</v>
      </c>
      <c r="W21" s="271">
        <f t="shared" ref="W21:W28" si="11">ROUND(IF(X21*10&gt;1,X21*10,X21*600),0)</f>
        <v>0</v>
      </c>
      <c r="X21" s="271">
        <f t="shared" si="10"/>
        <v>0</v>
      </c>
    </row>
    <row r="22" spans="1:24" x14ac:dyDescent="0.35">
      <c r="A22" s="271" t="s">
        <v>679</v>
      </c>
      <c r="B22" s="271">
        <v>1</v>
      </c>
      <c r="C22" s="271">
        <v>0</v>
      </c>
      <c r="D22" s="271">
        <v>0</v>
      </c>
      <c r="E22" s="271">
        <v>1</v>
      </c>
      <c r="F22" s="271">
        <v>0</v>
      </c>
      <c r="G22" s="271">
        <f>IF(INDEX(tbl_Neo_MedIV,NeoBerIV!B22,5)=0,1,INDEX(tbl_Neo_MedIV,NeoBerIV!B22,5))</f>
        <v>1</v>
      </c>
      <c r="H22" s="271">
        <f t="shared" si="1"/>
        <v>0</v>
      </c>
      <c r="I22" s="816">
        <f>IF(NeoBerIV!G22&gt;1,INDEX(NeoTblLijst!$K$3:$K$11,NeoBerIV!G22),1)</f>
        <v>1</v>
      </c>
      <c r="J22" s="271">
        <v>0</v>
      </c>
      <c r="K22" s="271">
        <f t="shared" si="2"/>
        <v>0</v>
      </c>
      <c r="L22" s="271">
        <f t="shared" si="3"/>
        <v>0</v>
      </c>
      <c r="M22" s="271">
        <f t="shared" si="4"/>
        <v>0</v>
      </c>
      <c r="N22" s="271">
        <f t="shared" si="5"/>
        <v>0</v>
      </c>
      <c r="O22" s="271">
        <f t="shared" si="6"/>
        <v>0</v>
      </c>
      <c r="P22" s="271">
        <f t="shared" si="7"/>
        <v>0</v>
      </c>
      <c r="Q22" s="271">
        <f t="shared" si="8"/>
        <v>0</v>
      </c>
      <c r="R22" s="271">
        <f t="shared" si="9"/>
        <v>0</v>
      </c>
      <c r="W22" s="271">
        <f t="shared" si="11"/>
        <v>0</v>
      </c>
      <c r="X22" s="271">
        <f t="shared" si="10"/>
        <v>0</v>
      </c>
    </row>
    <row r="23" spans="1:24" x14ac:dyDescent="0.35">
      <c r="A23" s="271" t="s">
        <v>680</v>
      </c>
      <c r="B23" s="271">
        <v>1</v>
      </c>
      <c r="C23" s="271">
        <v>0</v>
      </c>
      <c r="D23" s="271">
        <v>0</v>
      </c>
      <c r="E23" s="271">
        <v>1</v>
      </c>
      <c r="F23" s="271">
        <v>0</v>
      </c>
      <c r="G23" s="271">
        <f>IF(INDEX(tbl_Neo_MedIV,NeoBerIV!B23,5)=0,1,INDEX(tbl_Neo_MedIV,NeoBerIV!B23,5))</f>
        <v>1</v>
      </c>
      <c r="H23" s="271">
        <f t="shared" si="1"/>
        <v>0</v>
      </c>
      <c r="I23" s="816">
        <f>IF(NeoBerIV!G23&gt;1,INDEX(NeoTblLijst!$K$3:$K$11,NeoBerIV!G23),1)</f>
        <v>1</v>
      </c>
      <c r="J23" s="271">
        <v>0</v>
      </c>
      <c r="K23" s="271">
        <f t="shared" si="2"/>
        <v>0</v>
      </c>
      <c r="L23" s="271">
        <f t="shared" si="3"/>
        <v>0</v>
      </c>
      <c r="M23" s="271">
        <f t="shared" si="4"/>
        <v>0</v>
      </c>
      <c r="N23" s="271">
        <f t="shared" si="5"/>
        <v>0</v>
      </c>
      <c r="O23" s="271">
        <f t="shared" si="6"/>
        <v>0</v>
      </c>
      <c r="P23" s="271">
        <f t="shared" si="7"/>
        <v>0</v>
      </c>
      <c r="Q23" s="271">
        <f t="shared" si="8"/>
        <v>0</v>
      </c>
      <c r="R23" s="271">
        <f t="shared" si="9"/>
        <v>0</v>
      </c>
      <c r="W23" s="271">
        <f t="shared" si="11"/>
        <v>0</v>
      </c>
      <c r="X23" s="271">
        <f t="shared" si="10"/>
        <v>0</v>
      </c>
    </row>
    <row r="24" spans="1:24" x14ac:dyDescent="0.35">
      <c r="A24" s="271" t="s">
        <v>681</v>
      </c>
      <c r="B24" s="271">
        <v>1</v>
      </c>
      <c r="C24" s="271">
        <v>0</v>
      </c>
      <c r="D24" s="271">
        <v>0</v>
      </c>
      <c r="E24" s="271">
        <v>1</v>
      </c>
      <c r="F24" s="271">
        <v>0</v>
      </c>
      <c r="G24" s="271">
        <f>IF(INDEX(tbl_Neo_MedIV,NeoBerIV!B24,5)=0,1,INDEX(tbl_Neo_MedIV,NeoBerIV!B24,5))</f>
        <v>1</v>
      </c>
      <c r="H24" s="271">
        <f t="shared" si="1"/>
        <v>0</v>
      </c>
      <c r="I24" s="816">
        <f>IF(NeoBerIV!G24&gt;1,INDEX(NeoTblLijst!$K$3:$K$11,NeoBerIV!G24),1)</f>
        <v>1</v>
      </c>
      <c r="J24" s="271">
        <v>0</v>
      </c>
      <c r="K24" s="271">
        <f t="shared" si="2"/>
        <v>0</v>
      </c>
      <c r="L24" s="271">
        <f t="shared" si="3"/>
        <v>0</v>
      </c>
      <c r="M24" s="271">
        <f t="shared" si="4"/>
        <v>0</v>
      </c>
      <c r="N24" s="271">
        <f t="shared" si="5"/>
        <v>0</v>
      </c>
      <c r="O24" s="271">
        <f t="shared" si="6"/>
        <v>0</v>
      </c>
      <c r="P24" s="271">
        <f t="shared" si="7"/>
        <v>0</v>
      </c>
      <c r="Q24" s="271">
        <f t="shared" si="8"/>
        <v>0</v>
      </c>
      <c r="R24" s="271">
        <f t="shared" si="9"/>
        <v>0</v>
      </c>
      <c r="W24" s="271">
        <f t="shared" si="11"/>
        <v>0</v>
      </c>
      <c r="X24" s="271">
        <f t="shared" si="10"/>
        <v>0</v>
      </c>
    </row>
    <row r="25" spans="1:24" x14ac:dyDescent="0.35">
      <c r="A25" s="271" t="s">
        <v>682</v>
      </c>
      <c r="B25" s="271">
        <v>1</v>
      </c>
      <c r="C25" s="271">
        <v>0</v>
      </c>
      <c r="D25" s="271">
        <v>0</v>
      </c>
      <c r="E25" s="271">
        <v>1</v>
      </c>
      <c r="F25" s="271">
        <v>0</v>
      </c>
      <c r="G25" s="271">
        <f>IF(INDEX(tbl_Neo_MedIV,NeoBerIV!B25,5)=0,1,INDEX(tbl_Neo_MedIV,NeoBerIV!B25,5))</f>
        <v>1</v>
      </c>
      <c r="H25" s="271">
        <f t="shared" si="1"/>
        <v>0</v>
      </c>
      <c r="I25" s="816">
        <f>IF(NeoBerIV!G25&gt;1,INDEX(NeoTblLijst!$K$3:$K$11,NeoBerIV!G25),1)</f>
        <v>1</v>
      </c>
      <c r="J25" s="271">
        <v>0</v>
      </c>
      <c r="K25" s="271">
        <f t="shared" si="2"/>
        <v>0</v>
      </c>
      <c r="L25" s="271">
        <f t="shared" si="3"/>
        <v>0</v>
      </c>
      <c r="M25" s="271">
        <f t="shared" si="4"/>
        <v>0</v>
      </c>
      <c r="N25" s="271">
        <f t="shared" si="5"/>
        <v>0</v>
      </c>
      <c r="O25" s="271">
        <f t="shared" si="6"/>
        <v>0</v>
      </c>
      <c r="P25" s="271">
        <f t="shared" si="7"/>
        <v>0</v>
      </c>
      <c r="Q25" s="271">
        <f t="shared" si="8"/>
        <v>0</v>
      </c>
      <c r="R25" s="271">
        <f t="shared" si="9"/>
        <v>0</v>
      </c>
      <c r="W25" s="271">
        <f t="shared" si="11"/>
        <v>0</v>
      </c>
      <c r="X25" s="271">
        <f t="shared" si="10"/>
        <v>0</v>
      </c>
    </row>
    <row r="26" spans="1:24" x14ac:dyDescent="0.35">
      <c r="A26" s="271" t="s">
        <v>683</v>
      </c>
      <c r="B26" s="271">
        <v>1</v>
      </c>
      <c r="C26" s="271">
        <v>0</v>
      </c>
      <c r="D26" s="271">
        <v>0</v>
      </c>
      <c r="E26" s="271">
        <v>1</v>
      </c>
      <c r="F26" s="271">
        <v>0</v>
      </c>
      <c r="G26" s="271">
        <f>IF(INDEX(tbl_Neo_MedIV,NeoBerIV!B26,5)=0,1,INDEX(tbl_Neo_MedIV,NeoBerIV!B26,5))</f>
        <v>1</v>
      </c>
      <c r="H26" s="271">
        <f t="shared" si="1"/>
        <v>0</v>
      </c>
      <c r="I26" s="816">
        <f>IF(NeoBerIV!G26&gt;1,INDEX(NeoTblLijst!$K$3:$K$11,NeoBerIV!G26),1)</f>
        <v>1</v>
      </c>
      <c r="J26" s="271">
        <v>0</v>
      </c>
      <c r="K26" s="271">
        <f t="shared" si="2"/>
        <v>0</v>
      </c>
      <c r="L26" s="271">
        <f t="shared" si="3"/>
        <v>0</v>
      </c>
      <c r="M26" s="271">
        <f t="shared" si="4"/>
        <v>0</v>
      </c>
      <c r="N26" s="271">
        <f t="shared" si="5"/>
        <v>0</v>
      </c>
      <c r="O26" s="271">
        <f t="shared" si="6"/>
        <v>0</v>
      </c>
      <c r="P26" s="271">
        <f t="shared" si="7"/>
        <v>0</v>
      </c>
      <c r="Q26" s="271">
        <f t="shared" si="8"/>
        <v>0</v>
      </c>
      <c r="R26" s="271">
        <f t="shared" si="9"/>
        <v>0</v>
      </c>
      <c r="W26" s="271">
        <f t="shared" si="11"/>
        <v>0</v>
      </c>
      <c r="X26" s="271">
        <f t="shared" si="10"/>
        <v>0</v>
      </c>
    </row>
    <row r="27" spans="1:24" x14ac:dyDescent="0.35">
      <c r="A27" s="271" t="s">
        <v>684</v>
      </c>
      <c r="B27" s="271">
        <v>1</v>
      </c>
      <c r="C27" s="271">
        <v>0</v>
      </c>
      <c r="D27" s="271">
        <v>0</v>
      </c>
      <c r="E27" s="271">
        <v>1</v>
      </c>
      <c r="F27" s="271">
        <v>0</v>
      </c>
      <c r="G27" s="271">
        <f>IF(INDEX(tbl_Neo_MedIV,NeoBerIV!B27,5)=0,1,INDEX(tbl_Neo_MedIV,NeoBerIV!B27,5))</f>
        <v>1</v>
      </c>
      <c r="H27" s="271">
        <f t="shared" si="1"/>
        <v>0</v>
      </c>
      <c r="I27" s="816">
        <f>IF(NeoBerIV!G27&gt;1,INDEX(NeoTblLijst!$K$3:$K$11,NeoBerIV!G27),1)</f>
        <v>1</v>
      </c>
      <c r="J27" s="271">
        <v>0</v>
      </c>
      <c r="K27" s="271">
        <f t="shared" si="2"/>
        <v>0</v>
      </c>
      <c r="L27" s="271">
        <f t="shared" si="3"/>
        <v>0</v>
      </c>
      <c r="M27" s="271">
        <f t="shared" si="4"/>
        <v>0</v>
      </c>
      <c r="N27" s="271">
        <f t="shared" si="5"/>
        <v>0</v>
      </c>
      <c r="O27" s="271">
        <f t="shared" si="6"/>
        <v>0</v>
      </c>
      <c r="P27" s="271">
        <f t="shared" si="7"/>
        <v>0</v>
      </c>
      <c r="Q27" s="271">
        <f t="shared" si="8"/>
        <v>0</v>
      </c>
      <c r="R27" s="271">
        <f t="shared" si="9"/>
        <v>0</v>
      </c>
      <c r="W27" s="271">
        <f t="shared" si="11"/>
        <v>0</v>
      </c>
      <c r="X27" s="271">
        <f t="shared" si="10"/>
        <v>0</v>
      </c>
    </row>
    <row r="28" spans="1:24" x14ac:dyDescent="0.35">
      <c r="A28" s="271" t="s">
        <v>685</v>
      </c>
      <c r="B28" s="271">
        <v>1</v>
      </c>
      <c r="C28" s="271">
        <v>0</v>
      </c>
      <c r="D28" s="271">
        <v>0</v>
      </c>
      <c r="E28" s="271">
        <v>1</v>
      </c>
      <c r="F28" s="271">
        <v>0</v>
      </c>
      <c r="G28" s="271">
        <f>IF(INDEX(tbl_Neo_MedIV,NeoBerIV!B28,5)=0,1,INDEX(tbl_Neo_MedIV,NeoBerIV!B28,5))</f>
        <v>1</v>
      </c>
      <c r="H28" s="271">
        <f t="shared" si="1"/>
        <v>0</v>
      </c>
      <c r="I28" s="816">
        <f>IF(NeoBerIV!G28&gt;1,INDEX(NeoTblLijst!$K$3:$K$11,NeoBerIV!G28),1)</f>
        <v>1</v>
      </c>
      <c r="J28" s="271">
        <v>0</v>
      </c>
      <c r="K28" s="271">
        <f t="shared" si="2"/>
        <v>0</v>
      </c>
      <c r="L28" s="271">
        <f t="shared" si="3"/>
        <v>0</v>
      </c>
      <c r="M28" s="271">
        <f t="shared" si="4"/>
        <v>0</v>
      </c>
      <c r="N28" s="271">
        <f t="shared" si="5"/>
        <v>0</v>
      </c>
      <c r="O28" s="271">
        <f t="shared" si="6"/>
        <v>0</v>
      </c>
      <c r="P28" s="271">
        <f t="shared" si="7"/>
        <v>0</v>
      </c>
      <c r="Q28" s="271">
        <f t="shared" si="8"/>
        <v>0</v>
      </c>
      <c r="R28" s="271">
        <f t="shared" si="9"/>
        <v>0</v>
      </c>
      <c r="W28" s="271">
        <f t="shared" si="11"/>
        <v>0</v>
      </c>
      <c r="X28" s="271">
        <f t="shared" si="10"/>
        <v>0</v>
      </c>
    </row>
    <row r="29" spans="1:24" x14ac:dyDescent="0.35">
      <c r="A29" s="271" t="s">
        <v>615</v>
      </c>
      <c r="E29" s="271">
        <v>0</v>
      </c>
      <c r="F29" s="271">
        <v>0</v>
      </c>
      <c r="J29" s="271" t="b">
        <v>0</v>
      </c>
      <c r="K29" s="271">
        <f t="shared" si="2"/>
        <v>0</v>
      </c>
      <c r="L29" s="271">
        <f t="shared" si="3"/>
        <v>0</v>
      </c>
      <c r="M29" s="271">
        <f t="shared" si="4"/>
        <v>0</v>
      </c>
      <c r="N29" s="271">
        <f t="shared" si="5"/>
        <v>0</v>
      </c>
      <c r="O29" s="271">
        <f t="shared" si="6"/>
        <v>0</v>
      </c>
      <c r="P29" s="271">
        <f t="shared" si="7"/>
        <v>0</v>
      </c>
      <c r="Q29" s="271">
        <f t="shared" si="8"/>
        <v>0</v>
      </c>
      <c r="R29" s="271">
        <f t="shared" si="9"/>
        <v>0</v>
      </c>
      <c r="W29" s="271">
        <f>ROUND(IF(X29*10&gt;1,X29*10,X29*600),0)</f>
        <v>0</v>
      </c>
      <c r="X29" s="271">
        <f t="shared" si="10"/>
        <v>0</v>
      </c>
    </row>
    <row r="30" spans="1:24" x14ac:dyDescent="0.35">
      <c r="A30" s="271" t="s">
        <v>616</v>
      </c>
      <c r="E30" s="271">
        <v>0</v>
      </c>
      <c r="F30" s="271">
        <v>0</v>
      </c>
      <c r="J30" s="271" t="b">
        <v>0</v>
      </c>
      <c r="K30" s="271">
        <f t="shared" si="2"/>
        <v>0</v>
      </c>
      <c r="L30" s="271">
        <f t="shared" si="3"/>
        <v>0</v>
      </c>
      <c r="M30" s="271">
        <f t="shared" si="4"/>
        <v>0</v>
      </c>
      <c r="N30" s="271">
        <f t="shared" si="5"/>
        <v>0</v>
      </c>
      <c r="O30" s="271">
        <f t="shared" si="6"/>
        <v>0</v>
      </c>
      <c r="P30" s="271">
        <f t="shared" si="7"/>
        <v>0</v>
      </c>
      <c r="Q30" s="271">
        <f t="shared" si="8"/>
        <v>0</v>
      </c>
      <c r="R30" s="271">
        <f t="shared" si="9"/>
        <v>0</v>
      </c>
      <c r="W30" s="271">
        <f>ROUND(IF(X30*10&gt;1,X30*10,X30*600),0)</f>
        <v>0</v>
      </c>
      <c r="X30" s="271">
        <f t="shared" si="10"/>
        <v>0</v>
      </c>
    </row>
    <row r="31" spans="1:24" x14ac:dyDescent="0.35">
      <c r="A31" s="271" t="s">
        <v>617</v>
      </c>
      <c r="E31" s="271">
        <v>0</v>
      </c>
      <c r="F31" s="271">
        <v>0</v>
      </c>
      <c r="J31" s="271" t="b">
        <v>0</v>
      </c>
      <c r="K31" s="271">
        <f t="shared" si="2"/>
        <v>0</v>
      </c>
      <c r="L31" s="271">
        <f t="shared" si="3"/>
        <v>0</v>
      </c>
      <c r="M31" s="271">
        <f t="shared" si="4"/>
        <v>0</v>
      </c>
      <c r="N31" s="271">
        <f t="shared" si="5"/>
        <v>0</v>
      </c>
      <c r="O31" s="271">
        <f t="shared" si="6"/>
        <v>0</v>
      </c>
      <c r="P31" s="271">
        <f t="shared" si="7"/>
        <v>0</v>
      </c>
      <c r="Q31" s="271">
        <f t="shared" si="8"/>
        <v>0</v>
      </c>
      <c r="R31" s="271">
        <f t="shared" si="9"/>
        <v>0</v>
      </c>
      <c r="W31" s="271">
        <f>ROUND(IF(X31*10&gt;1,X31*10,X31*600),0)</f>
        <v>0</v>
      </c>
      <c r="X31" s="271">
        <f t="shared" si="10"/>
        <v>0</v>
      </c>
    </row>
    <row r="32" spans="1:24" x14ac:dyDescent="0.35">
      <c r="A32" s="660" t="s">
        <v>1165</v>
      </c>
    </row>
    <row r="33" spans="1:22" x14ac:dyDescent="0.35">
      <c r="A33" s="660" t="s">
        <v>1166</v>
      </c>
    </row>
    <row r="34" spans="1:22" x14ac:dyDescent="0.35">
      <c r="B34" s="271" t="s">
        <v>686</v>
      </c>
      <c r="C34" s="271" t="s">
        <v>687</v>
      </c>
      <c r="D34" s="271" t="s">
        <v>688</v>
      </c>
      <c r="F34" s="271" t="s">
        <v>1179</v>
      </c>
    </row>
    <row r="35" spans="1:22" x14ac:dyDescent="0.35">
      <c r="A35" s="271" t="str">
        <f>INDEX(tbl_Neo_IntralipidSmof,_Neo_InfB_IntralipidSmof)</f>
        <v>Intralipid 20% (incl vitintra)</v>
      </c>
      <c r="B35" s="492">
        <f ca="1">ROUND((_Pat_Gewicht/10)*INDEX(NeoBerAdvies!$B$9:$G$16,8,NeoBerIV!$C$6),0)</f>
        <v>0</v>
      </c>
      <c r="C35" s="271">
        <f ca="1">ROUND(IF(AND(B17,B35+(D35-5000)&gt;0),B35+(D35-5000),0),0)</f>
        <v>0</v>
      </c>
      <c r="D35" s="271">
        <v>5000</v>
      </c>
      <c r="F35" s="271">
        <v>1</v>
      </c>
      <c r="K35" s="271">
        <f ca="1">C35</f>
        <v>0</v>
      </c>
      <c r="S35" s="271">
        <f ca="1">0.2*K35*10/12</f>
        <v>0</v>
      </c>
      <c r="V35" s="271">
        <f ca="1">40*C35*2/12</f>
        <v>0</v>
      </c>
    </row>
    <row r="36" spans="1:22" x14ac:dyDescent="0.35">
      <c r="A36" s="271" t="s">
        <v>619</v>
      </c>
      <c r="B36" s="492"/>
      <c r="D36" s="271">
        <v>1</v>
      </c>
    </row>
    <row r="37" spans="1:22" x14ac:dyDescent="0.35">
      <c r="A37" s="271" t="s">
        <v>359</v>
      </c>
      <c r="B37" s="492">
        <f ca="1">ROUND((_Pat_Gewicht/10)*INDEX(NeoBerAdvies!$B$9:$G$16,2,NeoBerIV!$C$6),0)</f>
        <v>0</v>
      </c>
      <c r="C37" s="271">
        <f ca="1">IF(AND($B$17,B37+(D37-5000)/10&gt;0),ROUND(B37+(D37-5000)/10,1),0)</f>
        <v>0</v>
      </c>
      <c r="D37" s="271">
        <v>5000</v>
      </c>
      <c r="K37" s="271">
        <f ca="1">IF(OR($D$36=1,$D$36=3),C37,0)</f>
        <v>0</v>
      </c>
      <c r="L37" s="271">
        <f ca="1">K37*0.5</f>
        <v>0</v>
      </c>
      <c r="U37" s="271">
        <f ca="1">K37*0.5</f>
        <v>0</v>
      </c>
    </row>
    <row r="38" spans="1:22" x14ac:dyDescent="0.35">
      <c r="A38" s="271" t="s">
        <v>620</v>
      </c>
      <c r="B38" s="492">
        <f ca="1">ROUND((_Pat_Gewicht/10)*INDEX(NeoBerAdvies!$B$9:$G$16,3,NeoBerIV!$C$6),0)</f>
        <v>0</v>
      </c>
      <c r="C38" s="271">
        <f ca="1">IF(AND($B$17,B38+(D38-5000)/10&gt;0),ROUND(B38+(D38-5000)/10,1),0)</f>
        <v>0</v>
      </c>
      <c r="D38" s="271">
        <v>5000</v>
      </c>
      <c r="K38" s="271">
        <f ca="1">IF(OR($D$36=1,$D$36=3),C38,0)</f>
        <v>0</v>
      </c>
      <c r="M38" s="271">
        <f ca="1">K38</f>
        <v>0</v>
      </c>
    </row>
    <row r="39" spans="1:22" x14ac:dyDescent="0.35">
      <c r="A39" s="271" t="s">
        <v>621</v>
      </c>
      <c r="B39" s="492">
        <f ca="1">ROUND((_Pat_Gewicht/10)*INDEX(NeoBerAdvies!$B$9:$G$16,4,NeoBerIV!$C$6),0)</f>
        <v>30</v>
      </c>
      <c r="C39" s="271">
        <f ca="1">IF(AND($B$17,B39+(D39-5000)/10&gt;0),ROUND(B39+(D39-5000)/10,1),0)</f>
        <v>0</v>
      </c>
      <c r="D39" s="271">
        <v>5000</v>
      </c>
      <c r="K39" s="271">
        <f ca="1">IF($D$36=1,C39,0)</f>
        <v>0</v>
      </c>
      <c r="N39" s="271">
        <f ca="1">K39*0.225</f>
        <v>0</v>
      </c>
      <c r="U39" s="271">
        <f ca="1">K39*0.225*2</f>
        <v>0</v>
      </c>
    </row>
    <row r="40" spans="1:22" x14ac:dyDescent="0.35">
      <c r="A40" s="271" t="s">
        <v>622</v>
      </c>
      <c r="B40" s="492">
        <f ca="1">ROUND((_Pat_Gewicht/10)*INDEX(NeoBerAdvies!$B$9:$G$16,5,NeoBerIV!$C$6),1)</f>
        <v>3</v>
      </c>
      <c r="C40" s="271">
        <f ca="1">IF(AND($B$17,B40+(D40-5000)/10&gt;0),ROUND(B40+(D40-5000)/10,1),0)</f>
        <v>0</v>
      </c>
      <c r="D40" s="271">
        <v>5000</v>
      </c>
      <c r="K40" s="271">
        <f ca="1">IF($D$36=1,C40,0)</f>
        <v>0</v>
      </c>
      <c r="O40" s="271">
        <f ca="1">K40*0.5</f>
        <v>0</v>
      </c>
      <c r="U40" s="271">
        <f ca="1">K40*0.5*2</f>
        <v>0</v>
      </c>
    </row>
    <row r="41" spans="1:22" x14ac:dyDescent="0.35">
      <c r="A41" s="271" t="s">
        <v>217</v>
      </c>
      <c r="B41" s="492">
        <f ca="1">ROUND((_Pat_Gewicht/10)*INDEX(NeoBerAdvies!$B$9:$G$16,6,NeoBerIV!$C$6),1)</f>
        <v>0</v>
      </c>
      <c r="C41" s="271">
        <f ca="1">IF(AND($B$17,B41+(D41-5000)/10&gt;0),ROUND(B41+(D41-5000)/10,1),0)</f>
        <v>0</v>
      </c>
      <c r="D41" s="271">
        <v>5000</v>
      </c>
      <c r="K41" s="271">
        <f ca="1">IF($D$36=1,C41,0)</f>
        <v>0</v>
      </c>
      <c r="V41" s="271">
        <f ca="1">40*C41</f>
        <v>0</v>
      </c>
    </row>
    <row r="42" spans="1:22" x14ac:dyDescent="0.35">
      <c r="A42" s="271" t="s">
        <v>577</v>
      </c>
      <c r="B42" s="492">
        <f ca="1">ROUND((_Pat_Gewicht/10)*INDEX(NeoBerAdvies!$B$9:$G$16,7,NeoBerIV!$C$6),0)</f>
        <v>0</v>
      </c>
      <c r="C42" s="271">
        <f ca="1">IF(AND($B$17,B42+(D42-5000)&gt;0),ROUND(B42+(D42-5000),0),0)</f>
        <v>0</v>
      </c>
      <c r="D42" s="271">
        <v>5000</v>
      </c>
      <c r="K42" s="271">
        <f ca="1">IF($D$36=1,C42,0)</f>
        <v>0</v>
      </c>
      <c r="Q42" s="271">
        <f ca="1">0.1*K42</f>
        <v>0</v>
      </c>
    </row>
    <row r="43" spans="1:22" x14ac:dyDescent="0.35">
      <c r="A43" s="271" t="s">
        <v>578</v>
      </c>
      <c r="B43" s="492">
        <f ca="1">ROUND((_Pat_Gewicht/10)*INDEX(NeoBerAdvies!$B$9:$G$16,1,NeoBerIV!$C$6),1)</f>
        <v>0</v>
      </c>
      <c r="C43" s="271">
        <f ca="1">ROUND(IF(AND($B$17,B43+(D43-5000)&gt;0),B43+(D43-5000),0),0)</f>
        <v>0</v>
      </c>
      <c r="D43" s="271">
        <v>5000</v>
      </c>
      <c r="K43" s="271">
        <f>IF(D36=2,C43,0)</f>
        <v>0</v>
      </c>
      <c r="L43" s="271">
        <f>INDEX(tbl_Neo_TpnNICU,2,L11)*$K$43</f>
        <v>0</v>
      </c>
      <c r="M43" s="271">
        <f t="shared" ref="M43:T43" si="12">INDEX(tbl_Neo_TpnNICU,2,M11)*$K$43</f>
        <v>0</v>
      </c>
      <c r="N43" s="271">
        <f t="shared" si="12"/>
        <v>0</v>
      </c>
      <c r="O43" s="271">
        <f t="shared" si="12"/>
        <v>0</v>
      </c>
      <c r="P43" s="271">
        <f t="shared" si="12"/>
        <v>0</v>
      </c>
      <c r="Q43" s="271">
        <f t="shared" si="12"/>
        <v>0</v>
      </c>
      <c r="R43" s="271">
        <f t="shared" si="12"/>
        <v>0</v>
      </c>
      <c r="S43" s="271">
        <f t="shared" si="12"/>
        <v>0</v>
      </c>
      <c r="T43" s="271">
        <f t="shared" si="12"/>
        <v>0</v>
      </c>
    </row>
    <row r="44" spans="1:22" x14ac:dyDescent="0.35">
      <c r="A44" s="271" t="s">
        <v>357</v>
      </c>
      <c r="B44" s="492">
        <f ca="1">ROUND((_Pat_Gewicht/10)*INDEX(NeoBerAdvies!$B$9:$G$16,1,NeoBerIV!$C$6),1)</f>
        <v>0</v>
      </c>
      <c r="C44" s="271">
        <f ca="1">ROUND(IF(AND($B$17,B44+(D44-5000)&gt;0),B44+(D44-5000),0),0)</f>
        <v>0</v>
      </c>
      <c r="D44" s="271">
        <v>5000</v>
      </c>
      <c r="K44" s="271">
        <f>IF(D36=3,C44,0)</f>
        <v>0</v>
      </c>
      <c r="L44" s="271">
        <f>INDEX(tbl_Neo_TpnNICU,1,L11)*$K$44</f>
        <v>0</v>
      </c>
      <c r="M44" s="271">
        <f t="shared" ref="M44:T44" si="13">INDEX(tbl_Neo_TpnNICU,1,M11)*$K$44</f>
        <v>0</v>
      </c>
      <c r="N44" s="271">
        <f t="shared" si="13"/>
        <v>0</v>
      </c>
      <c r="O44" s="271">
        <f t="shared" si="13"/>
        <v>0</v>
      </c>
      <c r="P44" s="271">
        <f t="shared" si="13"/>
        <v>0</v>
      </c>
      <c r="Q44" s="271">
        <f t="shared" si="13"/>
        <v>0</v>
      </c>
      <c r="R44" s="271">
        <f t="shared" si="13"/>
        <v>0</v>
      </c>
      <c r="S44" s="271">
        <f t="shared" si="13"/>
        <v>0</v>
      </c>
      <c r="T44" s="271">
        <f t="shared" si="13"/>
        <v>0</v>
      </c>
    </row>
    <row r="45" spans="1:22" x14ac:dyDescent="0.35">
      <c r="A45" s="271" t="s">
        <v>689</v>
      </c>
      <c r="D45" s="271">
        <v>2</v>
      </c>
      <c r="K45" s="271">
        <f>IF(B17,ROUND(C17-SUM(K18:K44),1),0)</f>
        <v>0</v>
      </c>
      <c r="R45" s="271">
        <f>INDEX(tbl_Neo_Opl,D45+1,2)*K45</f>
        <v>0</v>
      </c>
    </row>
    <row r="47" spans="1:22" x14ac:dyDescent="0.35">
      <c r="A47" s="271" t="s">
        <v>124</v>
      </c>
      <c r="K47" s="271">
        <f ca="1">K49+K50</f>
        <v>0</v>
      </c>
      <c r="L47" s="271">
        <f t="shared" ref="L47:V47" ca="1" si="14">L49+L50</f>
        <v>0</v>
      </c>
      <c r="M47" s="271">
        <f t="shared" ca="1" si="14"/>
        <v>0</v>
      </c>
      <c r="N47" s="271">
        <f t="shared" ca="1" si="14"/>
        <v>0</v>
      </c>
      <c r="O47" s="271">
        <f t="shared" ca="1" si="14"/>
        <v>0</v>
      </c>
      <c r="P47" s="271">
        <f t="shared" si="14"/>
        <v>0</v>
      </c>
      <c r="Q47" s="271">
        <f t="shared" ca="1" si="14"/>
        <v>0</v>
      </c>
      <c r="R47" s="271">
        <f t="shared" si="14"/>
        <v>0</v>
      </c>
      <c r="S47" s="271">
        <f t="shared" ca="1" si="14"/>
        <v>0</v>
      </c>
      <c r="T47" s="271">
        <f t="shared" ca="1" si="14"/>
        <v>0</v>
      </c>
      <c r="U47" s="271">
        <f t="shared" ca="1" si="14"/>
        <v>0</v>
      </c>
      <c r="V47" s="271">
        <f t="shared" ca="1" si="14"/>
        <v>0</v>
      </c>
    </row>
    <row r="49" spans="1:22" x14ac:dyDescent="0.35">
      <c r="A49" s="271" t="s">
        <v>220</v>
      </c>
      <c r="K49" s="271">
        <f>K14</f>
        <v>0</v>
      </c>
      <c r="L49" s="271">
        <f t="shared" ref="L49:V49" si="15">L14+IF(INDEX(tbl_Neo_LijstVoeding,_Neo_InfB_Voeding,14)="MM",L57,L62)</f>
        <v>0</v>
      </c>
      <c r="M49" s="660">
        <f t="shared" si="15"/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</row>
    <row r="50" spans="1:22" x14ac:dyDescent="0.35">
      <c r="A50" s="271" t="s">
        <v>218</v>
      </c>
      <c r="K50" s="271">
        <f ca="1">SUM(K18:K45)</f>
        <v>0</v>
      </c>
      <c r="L50" s="271">
        <f t="shared" ref="L50:V50" ca="1" si="16">SUM(L18:L45)</f>
        <v>0</v>
      </c>
      <c r="M50" s="271">
        <f t="shared" ca="1" si="16"/>
        <v>0</v>
      </c>
      <c r="N50" s="271">
        <f t="shared" ca="1" si="16"/>
        <v>0</v>
      </c>
      <c r="O50" s="271">
        <f t="shared" ca="1" si="16"/>
        <v>0</v>
      </c>
      <c r="P50" s="271">
        <f t="shared" si="16"/>
        <v>0</v>
      </c>
      <c r="Q50" s="271">
        <f t="shared" ca="1" si="16"/>
        <v>0</v>
      </c>
      <c r="R50" s="271">
        <f t="shared" si="16"/>
        <v>0</v>
      </c>
      <c r="S50" s="271">
        <f t="shared" ca="1" si="16"/>
        <v>0</v>
      </c>
      <c r="T50" s="271">
        <f ca="1">S50*9+R50*4+Q50*4</f>
        <v>0</v>
      </c>
      <c r="U50" s="271">
        <f t="shared" ca="1" si="16"/>
        <v>0</v>
      </c>
      <c r="V50" s="271">
        <f t="shared" ca="1" si="16"/>
        <v>0</v>
      </c>
    </row>
    <row r="52" spans="1:22" x14ac:dyDescent="0.35">
      <c r="A52" s="271" t="s">
        <v>982</v>
      </c>
      <c r="B52" s="271">
        <v>2</v>
      </c>
      <c r="J52" s="271">
        <v>3</v>
      </c>
      <c r="K52" s="816">
        <f>INDEX(tbl_Neo_NutrBMFWaard,NeoBerIV!J52)</f>
        <v>4.4000000000000004</v>
      </c>
      <c r="L52" s="651">
        <f t="shared" ref="L52:V52" si="17">IF($J52&gt;1,($K52/100)*$K$49*HLOOKUP(L1,tbl_Neo_NutrBMFToev,$B52,FALSE),0)</f>
        <v>0</v>
      </c>
      <c r="M52" s="651">
        <f t="shared" si="17"/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</row>
    <row r="53" spans="1:22" x14ac:dyDescent="0.35">
      <c r="A53" s="271" t="s">
        <v>973</v>
      </c>
      <c r="B53" s="271">
        <v>2</v>
      </c>
      <c r="C53" s="271">
        <f>_Neo_InfB_Toevoeging_1+1</f>
        <v>3</v>
      </c>
      <c r="J53" s="271">
        <v>5</v>
      </c>
      <c r="K53" s="816">
        <f>INDEX(tbl_Neo_NutrToevWaard,NeoBerIV!J53)</f>
        <v>2</v>
      </c>
      <c r="L53" s="651">
        <f>IF($B53&gt;1,($K53)*$K$49*HLOOKUP(NeoBerIV!L$1,tbl_Neo_OpzoektabelMM,$C53,FALSE)/100,0)</f>
        <v>0</v>
      </c>
      <c r="M53" s="651">
        <f>IF($B53&gt;1,($K53)*$K$49*HLOOKUP(NeoBerIV!M$1,tbl_Neo_OpzoektabelMM,$C53,FALSE)/100,0)</f>
        <v>0</v>
      </c>
      <c r="N53" s="651">
        <f>IF($B53&gt;1,($K53)*$K$49*HLOOKUP(NeoBerIV!N$1,tbl_Neo_OpzoektabelMM,$C53,FALSE)/100,0)</f>
        <v>0</v>
      </c>
      <c r="O53" s="651">
        <f>IF($B53&gt;1,($K53)*$K$49*HLOOKUP(NeoBerIV!O$1,tbl_Neo_OpzoektabelMM,$C53,FALSE)/100,0)</f>
        <v>0</v>
      </c>
      <c r="P53" s="651">
        <f>IF($B53&gt;1,($K53)*$K$49*HLOOKUP(NeoBerIV!P$1,tbl_Neo_OpzoektabelMM,$C53,FALSE)/100,0)</f>
        <v>0</v>
      </c>
      <c r="Q53" s="651">
        <f>IF($B53&gt;1,($K53)*$K$49*HLOOKUP(NeoBerIV!Q$1,tbl_Neo_OpzoektabelMM,$C53,FALSE)/100,0)</f>
        <v>0</v>
      </c>
      <c r="R53" s="651">
        <f>IF($B53&gt;1,($K53)*$K$49*HLOOKUP(NeoBerIV!R$1,tbl_Neo_OpzoektabelMM,$C53,FALSE)/100,0)</f>
        <v>0</v>
      </c>
      <c r="S53" s="651">
        <f>IF($B53&gt;1,($K53)*$K$49*HLOOKUP(NeoBerIV!S$1,tbl_Neo_OpzoektabelMM,$C53,FALSE)/100,0)</f>
        <v>0</v>
      </c>
      <c r="T53" s="651">
        <f>IF($B53&gt;1,($K53)*$K$49*HLOOKUP(NeoBerIV!T$1,tbl_Neo_OpzoektabelMM,$C53,FALSE)/100,0)</f>
        <v>0</v>
      </c>
      <c r="U53" s="651">
        <f>IF($B53&gt;1,($K53)*$K$49*HLOOKUP(NeoBerIV!U$1,tbl_Neo_OpzoektabelMM,$C53,FALSE)/100,0)</f>
        <v>0</v>
      </c>
      <c r="V53" s="651">
        <f>IF($B53&gt;1,($K53)*$K$49*HLOOKUP(NeoBerIV!V$1,tbl_Neo_OpzoektabelMM,$C53,FALSE)/100,0)</f>
        <v>0</v>
      </c>
    </row>
    <row r="54" spans="1:22" x14ac:dyDescent="0.35">
      <c r="A54" s="271" t="s">
        <v>974</v>
      </c>
      <c r="B54" s="271">
        <v>5</v>
      </c>
      <c r="C54" s="638">
        <f>_Neo_InfB_Toevoeging_2+1</f>
        <v>6</v>
      </c>
      <c r="J54" s="271">
        <v>4</v>
      </c>
      <c r="K54" s="816">
        <f>INDEX(tbl_Neo_NutrToevWaard,NeoBerIV!J54)</f>
        <v>1.5</v>
      </c>
      <c r="L54" s="651">
        <f>IF($B54&gt;1,($K54)*$K$49*HLOOKUP(NeoBerIV!L$1,tbl_Neo_OpzoektabelMM,$C54,FALSE)/100,0)</f>
        <v>0</v>
      </c>
      <c r="M54" s="651">
        <f>IF($B54&gt;1,($K54)*$K$49*HLOOKUP(NeoBerIV!M$1,tbl_Neo_OpzoektabelMM,$C54,FALSE)/100,0)</f>
        <v>0</v>
      </c>
      <c r="N54" s="651">
        <f>IF($B54&gt;1,($K54)*$K$49*HLOOKUP(NeoBerIV!N$1,tbl_Neo_OpzoektabelMM,$C54,FALSE)/100,0)</f>
        <v>0</v>
      </c>
      <c r="O54" s="651">
        <f>IF($B54&gt;1,($K54)*$K$49*HLOOKUP(NeoBerIV!O$1,tbl_Neo_OpzoektabelMM,$C54,FALSE)/100,0)</f>
        <v>0</v>
      </c>
      <c r="P54" s="651">
        <f>IF($B54&gt;1,($K54)*$K$49*HLOOKUP(NeoBerIV!P$1,tbl_Neo_OpzoektabelMM,$C54,FALSE)/100,0)</f>
        <v>0</v>
      </c>
      <c r="Q54" s="651">
        <f>IF($B54&gt;1,($K54)*$K$49*HLOOKUP(NeoBerIV!Q$1,tbl_Neo_OpzoektabelMM,$C54,FALSE)/100,0)</f>
        <v>0</v>
      </c>
      <c r="R54" s="651">
        <f>IF($B54&gt;1,($K54)*$K$49*HLOOKUP(NeoBerIV!R$1,tbl_Neo_OpzoektabelMM,$C54,FALSE)/100,0)</f>
        <v>0</v>
      </c>
      <c r="S54" s="651">
        <f>IF($B54&gt;1,($K54)*$K$49*HLOOKUP(NeoBerIV!S$1,tbl_Neo_OpzoektabelMM,$C54,FALSE)/100,0)</f>
        <v>0</v>
      </c>
      <c r="T54" s="651">
        <f>IF($B54&gt;1,($K54)*$K$49*HLOOKUP(NeoBerIV!T$1,tbl_Neo_OpzoektabelMM,$C54,FALSE)/100,0)</f>
        <v>0</v>
      </c>
      <c r="U54" s="651">
        <f>IF($B54&gt;1,($K54)*$K$49*HLOOKUP(NeoBerIV!U$1,tbl_Neo_OpzoektabelMM,$C54,FALSE)/100,0)</f>
        <v>0</v>
      </c>
      <c r="V54" s="651">
        <f>IF($B54&gt;1,($K54)*$K$49*HLOOKUP(NeoBerIV!V$1,tbl_Neo_OpzoektabelMM,$C54,FALSE)/100,0)</f>
        <v>0</v>
      </c>
    </row>
    <row r="55" spans="1:22" x14ac:dyDescent="0.35">
      <c r="A55" s="271" t="s">
        <v>975</v>
      </c>
      <c r="B55" s="271">
        <v>6</v>
      </c>
      <c r="C55" s="638">
        <f>_Neo_InfB_Toevoeging_3+1</f>
        <v>7</v>
      </c>
      <c r="J55" s="271">
        <v>6</v>
      </c>
      <c r="K55" s="816">
        <f>INDEX(tbl_Neo_NutrToevWaard,NeoBerIV!J55)</f>
        <v>2.5</v>
      </c>
      <c r="L55" s="651">
        <f>IF($B55&gt;1,($K55)*$K$49*HLOOKUP(NeoBerIV!L$1,tbl_Neo_OpzoektabelMM,$C55,FALSE)/100,0)</f>
        <v>0</v>
      </c>
      <c r="M55" s="651">
        <f>IF($B55&gt;1,($K55)*$K$49*HLOOKUP(NeoBerIV!M$1,tbl_Neo_OpzoektabelMM,$C55,FALSE)/100,0)</f>
        <v>0</v>
      </c>
      <c r="N55" s="651">
        <f>IF($B55&gt;1,($K55)*$K$49*HLOOKUP(NeoBerIV!N$1,tbl_Neo_OpzoektabelMM,$C55,FALSE)/100,0)</f>
        <v>0</v>
      </c>
      <c r="O55" s="651">
        <f>IF($B55&gt;1,($K55)*$K$49*HLOOKUP(NeoBerIV!O$1,tbl_Neo_OpzoektabelMM,$C55,FALSE)/100,0)</f>
        <v>0</v>
      </c>
      <c r="P55" s="651">
        <f>IF($B55&gt;1,($K55)*$K$49*HLOOKUP(NeoBerIV!P$1,tbl_Neo_OpzoektabelMM,$C55,FALSE)/100,0)</f>
        <v>0</v>
      </c>
      <c r="Q55" s="651">
        <f>IF($B55&gt;1,($K55)*$K$49*HLOOKUP(NeoBerIV!Q$1,tbl_Neo_OpzoektabelMM,$C55,FALSE)/100,0)</f>
        <v>0</v>
      </c>
      <c r="R55" s="651">
        <f>IF($B55&gt;1,($K55)*$K$49*HLOOKUP(NeoBerIV!R$1,tbl_Neo_OpzoektabelMM,$C55,FALSE)/100,0)</f>
        <v>0</v>
      </c>
      <c r="S55" s="651">
        <f>IF($B55&gt;1,($K55)*$K$49*HLOOKUP(NeoBerIV!S$1,tbl_Neo_OpzoektabelMM,$C55,FALSE)/100,0)</f>
        <v>0</v>
      </c>
      <c r="T55" s="651">
        <f>IF($B55&gt;1,($K55)*$K$49*HLOOKUP(NeoBerIV!T$1,tbl_Neo_OpzoektabelMM,$C55,FALSE)/100,0)</f>
        <v>0</v>
      </c>
      <c r="U55" s="651">
        <f>IF($B55&gt;1,($K55)*$K$49*HLOOKUP(NeoBerIV!U$1,tbl_Neo_OpzoektabelMM,$C55,FALSE)/100,0)</f>
        <v>0</v>
      </c>
      <c r="V55" s="651">
        <f>IF($B55&gt;1,($K55)*$K$49*HLOOKUP(NeoBerIV!V$1,tbl_Neo_OpzoektabelMM,$C55,FALSE)/100,0)</f>
        <v>0</v>
      </c>
    </row>
    <row r="56" spans="1:22" x14ac:dyDescent="0.35">
      <c r="A56" s="271" t="s">
        <v>976</v>
      </c>
      <c r="B56" s="271">
        <v>2</v>
      </c>
      <c r="C56" s="638">
        <f>_Neo_InfB_Toevoeging_4+1</f>
        <v>3</v>
      </c>
      <c r="J56" s="271">
        <v>3</v>
      </c>
      <c r="K56" s="816">
        <f>INDEX(tbl_Neo_NutrToevWaard,NeoBerIV!J56)</f>
        <v>1</v>
      </c>
      <c r="L56" s="651">
        <f>IF($B56&gt;1,($K56)*$K$49*HLOOKUP(NeoBerIV!L$1,tbl_Neo_OpzoektabelMM,$C56,FALSE)/100,0)</f>
        <v>0</v>
      </c>
      <c r="M56" s="651">
        <f>IF($B56&gt;1,($K56)*$K$49*HLOOKUP(NeoBerIV!M$1,tbl_Neo_OpzoektabelMM,$C56,FALSE)/100,0)</f>
        <v>0</v>
      </c>
      <c r="N56" s="651">
        <f>IF($B56&gt;1,($K56)*$K$49*HLOOKUP(NeoBerIV!N$1,tbl_Neo_OpzoektabelMM,$C56,FALSE)/100,0)</f>
        <v>0</v>
      </c>
      <c r="O56" s="651">
        <f>IF($B56&gt;1,($K56)*$K$49*HLOOKUP(NeoBerIV!O$1,tbl_Neo_OpzoektabelMM,$C56,FALSE)/100,0)</f>
        <v>0</v>
      </c>
      <c r="P56" s="651">
        <f>IF($B56&gt;1,($K56)*$K$49*HLOOKUP(NeoBerIV!P$1,tbl_Neo_OpzoektabelMM,$C56,FALSE)/100,0)</f>
        <v>0</v>
      </c>
      <c r="Q56" s="651">
        <f>IF($B56&gt;1,($K56)*$K$49*HLOOKUP(NeoBerIV!Q$1,tbl_Neo_OpzoektabelMM,$C56,FALSE)/100,0)</f>
        <v>0</v>
      </c>
      <c r="R56" s="651">
        <f>IF($B56&gt;1,($K56)*$K$49*HLOOKUP(NeoBerIV!R$1,tbl_Neo_OpzoektabelMM,$C56,FALSE)/100,0)</f>
        <v>0</v>
      </c>
      <c r="S56" s="651">
        <f>IF($B56&gt;1,($K56)*$K$49*HLOOKUP(NeoBerIV!S$1,tbl_Neo_OpzoektabelMM,$C56,FALSE)/100,0)</f>
        <v>0</v>
      </c>
      <c r="T56" s="651">
        <f>IF($B56&gt;1,($K56)*$K$49*HLOOKUP(NeoBerIV!T$1,tbl_Neo_OpzoektabelMM,$C56,FALSE)/100,0)</f>
        <v>0</v>
      </c>
      <c r="U56" s="651">
        <f>IF($B56&gt;1,($K56)*$K$49*HLOOKUP(NeoBerIV!U$1,tbl_Neo_OpzoektabelMM,$C56,FALSE)/100,0)</f>
        <v>0</v>
      </c>
      <c r="V56" s="651">
        <f>IF($B56&gt;1,($K56)*$K$49*HLOOKUP(NeoBerIV!V$1,tbl_Neo_OpzoektabelMM,$C56,FALSE)/100,0)</f>
        <v>0</v>
      </c>
    </row>
    <row r="57" spans="1:22" x14ac:dyDescent="0.35">
      <c r="A57" s="271" t="s">
        <v>1071</v>
      </c>
      <c r="C57" s="638"/>
      <c r="K57" s="816"/>
      <c r="L57" s="651">
        <f>SUM(L52:L56)</f>
        <v>0</v>
      </c>
      <c r="M57" s="651">
        <f t="shared" ref="M57:V57" si="18">SUM(M52:M56)</f>
        <v>0</v>
      </c>
      <c r="N57" s="651">
        <f t="shared" si="18"/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</row>
    <row r="58" spans="1:22" x14ac:dyDescent="0.35">
      <c r="A58" s="271" t="s">
        <v>977</v>
      </c>
      <c r="B58" s="271">
        <v>2</v>
      </c>
      <c r="C58" s="638">
        <f>_Neo_InfB_Toevoeging_5+1</f>
        <v>3</v>
      </c>
      <c r="J58" s="271">
        <v>4</v>
      </c>
      <c r="K58" s="816">
        <f>INDEX(tbl_Neo_NutrToevWaard,NeoBerIV!J58)</f>
        <v>1.5</v>
      </c>
      <c r="L58" s="651">
        <f>IF($B58&gt;1,($K58)*$K$49*HLOOKUP(NeoBerIV!L$1,tbl_Neo_OpzoektabelKV,$C58,FALSE)/100,0)</f>
        <v>0</v>
      </c>
      <c r="M58" s="651">
        <f>IF($B58&gt;1,($K58)*$K$49*HLOOKUP(NeoBerIV!M$1,tbl_Neo_OpzoektabelKV,$C58,FALSE)/100,0)</f>
        <v>0</v>
      </c>
      <c r="N58" s="651">
        <f>IF($B58&gt;1,($K58)*$K$49*HLOOKUP(NeoBerIV!N$1,tbl_Neo_OpzoektabelKV,$C58,FALSE)/100,0)</f>
        <v>0</v>
      </c>
      <c r="O58" s="651">
        <f>IF($B58&gt;1,($K58)*$K$49*HLOOKUP(NeoBerIV!O$1,tbl_Neo_OpzoektabelKV,$C58,FALSE)/100,0)</f>
        <v>0</v>
      </c>
      <c r="P58" s="651">
        <f>IF($B58&gt;1,($K58)*$K$49*HLOOKUP(NeoBerIV!P$1,tbl_Neo_OpzoektabelKV,$C58,FALSE)/100,0)</f>
        <v>0</v>
      </c>
      <c r="Q58" s="651">
        <f>IF($B58&gt;1,($K58)*$K$49*HLOOKUP(NeoBerIV!Q$1,tbl_Neo_OpzoektabelKV,$C58,FALSE)/100,0)</f>
        <v>0</v>
      </c>
      <c r="R58" s="651">
        <f>IF($B58&gt;1,($K58)*$K$49*HLOOKUP(NeoBerIV!R$1,tbl_Neo_OpzoektabelKV,$C58,FALSE)/100,0)</f>
        <v>0</v>
      </c>
      <c r="S58" s="651">
        <f>IF($B58&gt;1,($K58)*$K$49*HLOOKUP(NeoBerIV!S$1,tbl_Neo_OpzoektabelKV,$C58,FALSE)/100,0)</f>
        <v>0</v>
      </c>
      <c r="T58" s="651">
        <f>IF($B58&gt;1,($K58)*$K$49*HLOOKUP(NeoBerIV!T$1,tbl_Neo_OpzoektabelKV,$C58,FALSE)/100,0)</f>
        <v>0</v>
      </c>
      <c r="U58" s="651">
        <f>IF($B58&gt;1,($K58)*$K$49*HLOOKUP(NeoBerIV!U$1,tbl_Neo_OpzoektabelKV,$C58,FALSE)/100,0)</f>
        <v>0</v>
      </c>
      <c r="V58" s="651">
        <f>IF($B58&gt;1,($K58)*$K$49*HLOOKUP(NeoBerIV!V$1,tbl_Neo_OpzoektabelKV,$C58,FALSE)/100,0)</f>
        <v>0</v>
      </c>
    </row>
    <row r="59" spans="1:22" x14ac:dyDescent="0.35">
      <c r="A59" s="271" t="s">
        <v>978</v>
      </c>
      <c r="B59" s="271">
        <v>3</v>
      </c>
      <c r="C59" s="638">
        <f>_Neo_InfB_Toevoeging_6+1</f>
        <v>4</v>
      </c>
      <c r="J59" s="271">
        <v>5</v>
      </c>
      <c r="K59" s="816">
        <f>INDEX(tbl_Neo_NutrToevWaard,NeoBerIV!J59)</f>
        <v>2</v>
      </c>
      <c r="L59" s="651">
        <f>IF($B59&gt;1,($K59)*$K$49*HLOOKUP(NeoBerIV!L$1,tbl_Neo_OpzoektabelKV,$C59,FALSE)/100,0)</f>
        <v>0</v>
      </c>
      <c r="M59" s="651">
        <f>IF($B59&gt;1,($K59)*$K$49*HLOOKUP(NeoBerIV!M$1,tbl_Neo_OpzoektabelKV,$C59,FALSE)/100,0)</f>
        <v>0</v>
      </c>
      <c r="N59" s="651">
        <f>IF($B59&gt;1,($K59)*$K$49*HLOOKUP(NeoBerIV!N$1,tbl_Neo_OpzoektabelKV,$C59,FALSE)/100,0)</f>
        <v>0</v>
      </c>
      <c r="O59" s="651">
        <f>IF($B59&gt;1,($K59)*$K$49*HLOOKUP(NeoBerIV!O$1,tbl_Neo_OpzoektabelKV,$C59,FALSE)/100,0)</f>
        <v>0</v>
      </c>
      <c r="P59" s="651">
        <f>IF($B59&gt;1,($K59)*$K$49*HLOOKUP(NeoBerIV!P$1,tbl_Neo_OpzoektabelKV,$C59,FALSE)/100,0)</f>
        <v>0</v>
      </c>
      <c r="Q59" s="651">
        <f>IF($B59&gt;1,($K59)*$K$49*HLOOKUP(NeoBerIV!Q$1,tbl_Neo_OpzoektabelKV,$C59,FALSE)/100,0)</f>
        <v>0</v>
      </c>
      <c r="R59" s="651">
        <f>IF($B59&gt;1,($K59)*$K$49*HLOOKUP(NeoBerIV!R$1,tbl_Neo_OpzoektabelKV,$C59,FALSE)/100,0)</f>
        <v>0</v>
      </c>
      <c r="S59" s="651">
        <f>IF($B59&gt;1,($K59)*$K$49*HLOOKUP(NeoBerIV!S$1,tbl_Neo_OpzoektabelKV,$C59,FALSE)/100,0)</f>
        <v>0</v>
      </c>
      <c r="T59" s="651">
        <f>IF($B59&gt;1,($K59)*$K$49*HLOOKUP(NeoBerIV!T$1,tbl_Neo_OpzoektabelKV,$C59,FALSE)/100,0)</f>
        <v>0</v>
      </c>
      <c r="U59" s="651">
        <f>IF($B59&gt;1,($K59)*$K$49*HLOOKUP(NeoBerIV!U$1,tbl_Neo_OpzoektabelKV,$C59,FALSE)/100,0)</f>
        <v>0</v>
      </c>
      <c r="V59" s="651">
        <f>IF($B59&gt;1,($K59)*$K$49*HLOOKUP(NeoBerIV!V$1,tbl_Neo_OpzoektabelKV,$C59,FALSE)/100,0)</f>
        <v>0</v>
      </c>
    </row>
    <row r="60" spans="1:22" x14ac:dyDescent="0.35">
      <c r="A60" s="271" t="s">
        <v>979</v>
      </c>
      <c r="B60" s="271">
        <v>4</v>
      </c>
      <c r="C60" s="638">
        <f>_Neo_InfB_Toevoeging_7+1</f>
        <v>5</v>
      </c>
      <c r="J60" s="271">
        <v>6</v>
      </c>
      <c r="K60" s="816">
        <f>INDEX(tbl_Neo_NutrToevWaard,NeoBerIV!J60)</f>
        <v>2.5</v>
      </c>
      <c r="L60" s="651">
        <f>IF($B60&gt;1,($K60)*$K$49*HLOOKUP(NeoBerIV!L$1,tbl_Neo_OpzoektabelKV,$C60,FALSE)/100,0)</f>
        <v>0</v>
      </c>
      <c r="M60" s="651">
        <f>IF($B60&gt;1,($K60)*$K$49*HLOOKUP(NeoBerIV!M$1,tbl_Neo_OpzoektabelKV,$C60,FALSE)/100,0)</f>
        <v>0</v>
      </c>
      <c r="N60" s="651">
        <f>IF($B60&gt;1,($K60)*$K$49*HLOOKUP(NeoBerIV!N$1,tbl_Neo_OpzoektabelKV,$C60,FALSE)/100,0)</f>
        <v>0</v>
      </c>
      <c r="O60" s="651">
        <f>IF($B60&gt;1,($K60)*$K$49*HLOOKUP(NeoBerIV!O$1,tbl_Neo_OpzoektabelKV,$C60,FALSE)/100,0)</f>
        <v>0</v>
      </c>
      <c r="P60" s="651">
        <f>IF($B60&gt;1,($K60)*$K$49*HLOOKUP(NeoBerIV!P$1,tbl_Neo_OpzoektabelKV,$C60,FALSE)/100,0)</f>
        <v>0</v>
      </c>
      <c r="Q60" s="651">
        <f>IF($B60&gt;1,($K60)*$K$49*HLOOKUP(NeoBerIV!Q$1,tbl_Neo_OpzoektabelKV,$C60,FALSE)/100,0)</f>
        <v>0</v>
      </c>
      <c r="R60" s="651">
        <f>IF($B60&gt;1,($K60)*$K$49*HLOOKUP(NeoBerIV!R$1,tbl_Neo_OpzoektabelKV,$C60,FALSE)/100,0)</f>
        <v>0</v>
      </c>
      <c r="S60" s="651">
        <f>IF($B60&gt;1,($K60)*$K$49*HLOOKUP(NeoBerIV!S$1,tbl_Neo_OpzoektabelKV,$C60,FALSE)/100,0)</f>
        <v>0</v>
      </c>
      <c r="T60" s="651">
        <f>IF($B60&gt;1,($K60)*$K$49*HLOOKUP(NeoBerIV!T$1,tbl_Neo_OpzoektabelKV,$C60,FALSE)/100,0)</f>
        <v>0</v>
      </c>
      <c r="U60" s="651">
        <f>IF($B60&gt;1,($K60)*$K$49*HLOOKUP(NeoBerIV!U$1,tbl_Neo_OpzoektabelKV,$C60,FALSE)/100,0)</f>
        <v>0</v>
      </c>
      <c r="V60" s="651">
        <f>IF($B60&gt;1,($K60)*$K$49*HLOOKUP(NeoBerIV!V$1,tbl_Neo_OpzoektabelKV,$C60,FALSE)/100,0)</f>
        <v>0</v>
      </c>
    </row>
    <row r="61" spans="1:22" x14ac:dyDescent="0.35">
      <c r="A61" s="271" t="s">
        <v>980</v>
      </c>
      <c r="B61" s="271">
        <v>5</v>
      </c>
      <c r="C61" s="638">
        <f>_Neo_InfB_Toevoeging_8+1</f>
        <v>6</v>
      </c>
      <c r="J61" s="271">
        <v>5</v>
      </c>
      <c r="K61" s="816">
        <f>INDEX(tbl_Neo_NutrToevWaard,NeoBerIV!J61)</f>
        <v>2</v>
      </c>
      <c r="L61" s="651">
        <f>IF($B61&gt;1,($K61)*$K$49*HLOOKUP(NeoBerIV!L$1,tbl_Neo_OpzoektabelKV,$C61,FALSE)/100,0)</f>
        <v>0</v>
      </c>
      <c r="M61" s="651">
        <f>IF($B61&gt;1,($K61)*$K$49*HLOOKUP(NeoBerIV!M$1,tbl_Neo_OpzoektabelKV,$C61,FALSE)/100,0)</f>
        <v>0</v>
      </c>
      <c r="N61" s="651">
        <f>IF($B61&gt;1,($K61)*$K$49*HLOOKUP(NeoBerIV!N$1,tbl_Neo_OpzoektabelKV,$C61,FALSE)/100,0)</f>
        <v>0</v>
      </c>
      <c r="O61" s="651">
        <f>IF($B61&gt;1,($K61)*$K$49*HLOOKUP(NeoBerIV!O$1,tbl_Neo_OpzoektabelKV,$C61,FALSE)/100,0)</f>
        <v>0</v>
      </c>
      <c r="P61" s="651">
        <f>IF($B61&gt;1,($K61)*$K$49*HLOOKUP(NeoBerIV!P$1,tbl_Neo_OpzoektabelKV,$C61,FALSE)/100,0)</f>
        <v>0</v>
      </c>
      <c r="Q61" s="651">
        <f>IF($B61&gt;1,($K61)*$K$49*HLOOKUP(NeoBerIV!Q$1,tbl_Neo_OpzoektabelKV,$C61,FALSE)/100,0)</f>
        <v>0</v>
      </c>
      <c r="R61" s="651">
        <f>IF($B61&gt;1,($K61)*$K$49*HLOOKUP(NeoBerIV!R$1,tbl_Neo_OpzoektabelKV,$C61,FALSE)/100,0)</f>
        <v>0</v>
      </c>
      <c r="S61" s="651">
        <f>IF($B61&gt;1,($K61)*$K$49*HLOOKUP(NeoBerIV!S$1,tbl_Neo_OpzoektabelKV,$C61,FALSE)/100,0)</f>
        <v>0</v>
      </c>
      <c r="T61" s="651">
        <f>IF($B61&gt;1,($K61)*$K$49*HLOOKUP(NeoBerIV!T$1,tbl_Neo_OpzoektabelKV,$C61,FALSE)/100,0)</f>
        <v>0</v>
      </c>
      <c r="U61" s="651">
        <f>IF($B61&gt;1,($K61)*$K$49*HLOOKUP(NeoBerIV!U$1,tbl_Neo_OpzoektabelKV,$C61,FALSE)/100,0)</f>
        <v>0</v>
      </c>
      <c r="V61" s="651">
        <f>IF($B61&gt;1,($K61)*$K$49*HLOOKUP(NeoBerIV!V$1,tbl_Neo_OpzoektabelKV,$C61,FALSE)/100,0)</f>
        <v>0</v>
      </c>
    </row>
    <row r="62" spans="1:22" x14ac:dyDescent="0.35">
      <c r="A62" s="271" t="s">
        <v>1072</v>
      </c>
      <c r="L62" s="651">
        <f>SUM(L58:L61)</f>
        <v>0</v>
      </c>
      <c r="M62" s="651">
        <f t="shared" ref="M62:V62" si="19">SUM(M58:M61)</f>
        <v>0</v>
      </c>
      <c r="N62" s="651">
        <f t="shared" si="19"/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</row>
    <row r="63" spans="1:22" x14ac:dyDescent="0.35">
      <c r="A63" s="271" t="s">
        <v>690</v>
      </c>
      <c r="B63" s="271">
        <v>1</v>
      </c>
    </row>
    <row r="65" spans="1:12" x14ac:dyDescent="0.35">
      <c r="A65" s="271" t="s">
        <v>616</v>
      </c>
    </row>
    <row r="70" spans="1:12" ht="13.2" x14ac:dyDescent="0.4">
      <c r="B70" s="285"/>
      <c r="C70" s="279"/>
      <c r="D70" s="279"/>
      <c r="E70" s="279"/>
      <c r="F70" s="286"/>
      <c r="G70" s="279"/>
      <c r="H70" s="279"/>
    </row>
    <row r="71" spans="1:12" x14ac:dyDescent="0.35">
      <c r="L71" s="639"/>
    </row>
    <row r="73" spans="1:12" x14ac:dyDescent="0.35">
      <c r="A73" s="271" t="s">
        <v>948</v>
      </c>
      <c r="B73" s="271" t="str">
        <f ca="1">IF(NeoGuiAfspraken!E18=0,"",CONCATENATE(NeoGuiAfspraken!B18,": ",NeoGuiAfspraken!E18," ",NeoGuiAfspraken!F18," = "&amp;NeoBerIV!K47&amp;" ml"))</f>
        <v/>
      </c>
    </row>
    <row r="74" spans="1:12" x14ac:dyDescent="0.35">
      <c r="A74" s="271" t="s">
        <v>949</v>
      </c>
      <c r="B74" s="271" t="str">
        <f>IF(INDEX(tbl_Neo_Pos,NeoBerIV!D14,1)=0,"",CONCATENATE(NeoGuiAfspraken!H21," ",INDEX(tbl_Neo_Pos,NeoBerIV!D14,1)))</f>
        <v>Voeding: MM of Nenatal 1</v>
      </c>
    </row>
    <row r="75" spans="1:12" x14ac:dyDescent="0.35">
      <c r="A75" s="271" t="s">
        <v>950</v>
      </c>
      <c r="B75" s="660" t="str">
        <f>IF(INDEX(tbl_Neo_Pos,NeoBerIV!D14,1)=0,"",CONCATENATE("Hoeveelheid 1:  ",NeoGuiAfspraken!E21," ",NeoGuiAfspraken!F21," ",NeoGuiAfspraken!G21))</f>
        <v>Hoeveelheid 1:  0 maal 0 ml</v>
      </c>
    </row>
    <row r="76" spans="1:12" x14ac:dyDescent="0.35">
      <c r="A76" s="271" t="s">
        <v>951</v>
      </c>
      <c r="B76" s="271" t="str">
        <f>IF(INDEX(tbl_Neo_Pos,NeoBerIV!D14,1)=0,"",CONCATENATE("Hoeveelheid 2:  ",NeoGuiAfspraken!E22," ",NeoGuiAfspraken!F22," ",NeoGuiAfspraken!G22))</f>
        <v>Hoeveelheid 2:  0 maal 0 ml</v>
      </c>
    </row>
    <row r="77" spans="1:12" x14ac:dyDescent="0.35">
      <c r="A77" s="271" t="s">
        <v>952</v>
      </c>
      <c r="B77" s="660" t="str">
        <f>IF(AND(INDEX(tbl_Neo_LijstVoeding,_Neo_InfB_Voeding,14)="MM",Var_Neo_Percentage_0 &gt; 0), CONCATENATE("Toev MM: BMF ",Var_Neo_Percentage_0," %"),"")</f>
        <v>Toev MM: BMF 4,4 %</v>
      </c>
    </row>
    <row r="78" spans="1:12" x14ac:dyDescent="0.35">
      <c r="A78" s="271" t="s">
        <v>953</v>
      </c>
      <c r="B78" s="660" t="str">
        <f>IF(AND(INDEX(tbl_Neo_LijstVoeding,_Neo_InfB_Voeding,14)="MM",_Neo_InfB_Toevoeging_1 &gt; 1,Var_Neo_Percentage_1 &gt; 0), CONCATENATE("Toev MM: ",INDEX(tbl_Neo_NutrMMToev,_Neo_InfB_Toevoeging_1,1)," ",Var_Neo_Percentage_1," %"),"")</f>
        <v>Toev MM: Fantomalt 2 %</v>
      </c>
    </row>
    <row r="79" spans="1:12" x14ac:dyDescent="0.35">
      <c r="A79" s="271" t="s">
        <v>954</v>
      </c>
      <c r="B79" s="660" t="str">
        <f>IF(AND(INDEX(tbl_Neo_LijstVoeding,_Neo_InfB_Voeding,14)="MM",_Neo_InfB_Toevoeging_2 &gt; 1,Var_Neo_Percentage_2 &gt; 0), CONCATENATE("Toev MM: ",INDEX(tbl_Neo_NutrMMToev,_Neo_InfB_Toevoeging_2,1)," ",Var_Neo_Percentage_2," %"),"")</f>
        <v>Toev MM: Nenatal Protein Fortifier 1,5 %</v>
      </c>
    </row>
    <row r="80" spans="1:12" x14ac:dyDescent="0.35">
      <c r="A80" s="271" t="s">
        <v>955</v>
      </c>
      <c r="B80" s="660" t="str">
        <f>IF(AND(INDEX(tbl_Neo_LijstVoeding,_Neo_InfB_Voeding,14)="MM",_Neo_InfB_Toevoeging_3 &gt; 1,Var_Neo_Percentage_3 &gt; 0), CONCATENATE("Toev MM: ",INDEX(tbl_Neo_NutrMMToev,_Neo_InfB_Toevoeging_3,1)," ",Var_Neo_Percentage_3," %"),"")</f>
        <v>Toev MM: Solagen/Colagen 2,5 %</v>
      </c>
    </row>
    <row r="81" spans="1:2" x14ac:dyDescent="0.35">
      <c r="A81" s="271" t="s">
        <v>956</v>
      </c>
      <c r="B81" s="660" t="str">
        <f>IF(AND(INDEX(tbl_Neo_LijstVoeding,_Neo_InfB_Voeding,14)="MM",_Neo_InfB_Toevoeging_4 &gt; 1,Var_Neo_Percentage_4 &gt; 0), CONCATENATE("Toev MM: ",INDEX(tbl_Neo_NutrMMToev,_Neo_InfB_Toevoeging_4,1)," ",Var_Neo_Percentage_4," %"),"")</f>
        <v>Toev MM: Fantomalt 1 %</v>
      </c>
    </row>
    <row r="82" spans="1:2" x14ac:dyDescent="0.35">
      <c r="A82" s="271" t="s">
        <v>957</v>
      </c>
      <c r="B82" s="660" t="str">
        <f>IF(AND(INDEX(tbl_Neo_LijstVoeding,_Neo_InfB_Voeding,14)="KV",_Neo_InfB_Toevoeging_5 &gt; 1,Var_Neo_Percentage_5 &gt; 0), CONCATENATE("Toev KV: ",INDEX(tbl_Neo_NutrKunstToev,_Neo_InfB_Toevoeging_5,1)," ",Var_Neo_Percentage_5," %"),"")</f>
        <v/>
      </c>
    </row>
    <row r="83" spans="1:2" x14ac:dyDescent="0.35">
      <c r="A83" s="660" t="s">
        <v>1123</v>
      </c>
      <c r="B83" s="660" t="str">
        <f>IF(AND(INDEX(tbl_Neo_LijstVoeding,_Neo_InfB_Voeding,14)="KV",_Neo_InfB_Toevoeging_6 &gt; 1,Var_Neo_Percentage_6 &gt; 0), CONCATENATE("Toev KV: ",INDEX(tbl_Neo_NutrKunstToev,_Neo_InfB_Toevoeging_6,1)," ",Var_Neo_Percentage_6," %"),"")</f>
        <v/>
      </c>
    </row>
    <row r="84" spans="1:2" x14ac:dyDescent="0.35">
      <c r="A84" s="660" t="s">
        <v>1124</v>
      </c>
      <c r="B84" s="660" t="str">
        <f>IF(AND(INDEX(tbl_Neo_LijstVoeding,_Neo_InfB_Voeding,14)="KV",_Neo_InfB_Toevoeging_7 &gt; 1,Var_Neo_Percentage_7 &gt; 0), CONCATENATE("Toev KV: ",INDEX(tbl_Neo_NutrKunstToev,_Neo_InfB_Toevoeging_7,1)," ",Var_Neo_Percentage_7," %"),"")</f>
        <v/>
      </c>
    </row>
    <row r="85" spans="1:2" x14ac:dyDescent="0.35">
      <c r="A85" s="660" t="s">
        <v>1125</v>
      </c>
      <c r="B85" s="660" t="str">
        <f>IF(AND(INDEX(tbl_Neo_LijstVoeding,_Neo_InfB_Voeding,14)="KV",_Neo_InfB_Toevoeging_8 &gt; 1,Var_Neo_Percentage_8 &gt; 0), CONCATENATE("Toev KV: ",INDEX(tbl_Neo_NutrKunstToev,_Neo_InfB_Toevoeging_8,1)," ",Var_Neo_Percentage_8," %"),"")</f>
        <v/>
      </c>
    </row>
    <row r="86" spans="1:2" x14ac:dyDescent="0.35">
      <c r="A86" s="660" t="s">
        <v>1126</v>
      </c>
      <c r="B86" s="271" t="str">
        <f ca="1">IF(NeoGuiAfspraken!E28&gt;0,CONCATENATE(NeoGuiAfspraken!B28," ",NeoGuiAfspraken!E28," ",NeoGuiAfspraken!F28),"")</f>
        <v/>
      </c>
    </row>
    <row r="87" spans="1:2" x14ac:dyDescent="0.35">
      <c r="A87" s="660" t="s">
        <v>1127</v>
      </c>
      <c r="B87" s="271" t="str">
        <f>CONCATENATE(NeoGuiAfspraken!B19,": ",IF(NeoBerIV!B15=1,"Ja","Nee"))</f>
        <v>Fototherapie: Nee</v>
      </c>
    </row>
    <row r="90" spans="1:2" x14ac:dyDescent="0.35">
      <c r="A90" s="518" t="s">
        <v>1163</v>
      </c>
      <c r="B90" s="271" t="str">
        <f>IF(NeoBerIV!B20&gt;1,INDEX(tbl_Neo_MedIV,NeoBerIV!B20, 1)&amp;" "&amp;NeoGuiAfspraken!C32&amp;" "&amp;NeoGuiAfspraken!D32&amp;" "&amp; INDEX(tbl_Neo_Opl,NeoBerIV!E20,1)&amp;" " &amp; NeoGuiAfspraken!G32&amp;" (="&amp;NeoGuiAfspraken!H32&amp;" "&amp;NeoGuiAfspraken!I32&amp;"), inlooptijd: "&amp;NeoGuiAfspraken!N32,"")</f>
        <v/>
      </c>
    </row>
    <row r="91" spans="1:2" x14ac:dyDescent="0.35">
      <c r="A91" s="518" t="s">
        <v>1163</v>
      </c>
      <c r="B91" s="816" t="str">
        <f>IF(NeoBerIV!B21&gt;1,INDEX(tbl_Neo_MedIV,NeoBerIV!B21, 1)&amp;" "&amp;NeoGuiAfspraken!C33&amp;" "&amp;NeoGuiAfspraken!D33&amp;" "&amp; INDEX(tbl_Neo_Opl,NeoBerIV!E21,1)&amp;" " &amp; NeoGuiAfspraken!G33&amp;" (="&amp;NeoGuiAfspraken!H33&amp;" "&amp;NeoGuiAfspraken!I33&amp;"), inlooptijd: "&amp;NeoGuiAfspraken!N33,"")</f>
        <v/>
      </c>
    </row>
    <row r="92" spans="1:2" x14ac:dyDescent="0.35">
      <c r="A92" s="518" t="s">
        <v>1163</v>
      </c>
      <c r="B92" s="816" t="str">
        <f>IF(NeoBerIV!B22&gt;1,INDEX(tbl_Neo_MedIV,NeoBerIV!B22, 1)&amp;" "&amp;NeoGuiAfspraken!C34&amp;" "&amp;NeoGuiAfspraken!D34&amp;" "&amp; INDEX(tbl_Neo_Opl,NeoBerIV!E22,1)&amp;" " &amp; NeoGuiAfspraken!G34&amp;" (="&amp;NeoGuiAfspraken!H34&amp;" "&amp;NeoGuiAfspraken!I34&amp;"), inlooptijd: "&amp;NeoGuiAfspraken!N34,"")</f>
        <v/>
      </c>
    </row>
    <row r="93" spans="1:2" x14ac:dyDescent="0.35">
      <c r="A93" s="518" t="s">
        <v>1163</v>
      </c>
      <c r="B93" s="816" t="str">
        <f>IF(NeoBerIV!B23&gt;1,INDEX(tbl_Neo_MedIV,NeoBerIV!B23, 1)&amp;" "&amp;NeoGuiAfspraken!C35&amp;" "&amp;NeoGuiAfspraken!D35&amp;" "&amp; INDEX(tbl_Neo_Opl,NeoBerIV!E23,1)&amp;" " &amp; NeoGuiAfspraken!G35&amp;" (="&amp;NeoGuiAfspraken!H35&amp;" "&amp;NeoGuiAfspraken!I35&amp;"), inlooptijd: "&amp;NeoGuiAfspraken!N35,"")</f>
        <v/>
      </c>
    </row>
    <row r="94" spans="1:2" x14ac:dyDescent="0.35">
      <c r="A94" s="518" t="s">
        <v>1163</v>
      </c>
      <c r="B94" s="816" t="str">
        <f>IF(NeoBerIV!B24&gt;1,INDEX(tbl_Neo_MedIV,NeoBerIV!B24, 1)&amp;" "&amp;NeoGuiAfspraken!C36&amp;" "&amp;NeoGuiAfspraken!D36&amp;" "&amp; INDEX(tbl_Neo_Opl,NeoBerIV!E24,1)&amp;" " &amp; NeoGuiAfspraken!G36&amp;" (="&amp;NeoGuiAfspraken!H36&amp;" "&amp;NeoGuiAfspraken!I36&amp;"), inlooptijd: "&amp;NeoGuiAfspraken!N36,"")</f>
        <v/>
      </c>
    </row>
    <row r="95" spans="1:2" x14ac:dyDescent="0.35">
      <c r="A95" s="518" t="s">
        <v>1163</v>
      </c>
      <c r="B95" s="816" t="str">
        <f>IF(NeoBerIV!B25&gt;1,INDEX(tbl_Neo_MedIV,NeoBerIV!B25, 1)&amp;" "&amp;NeoGuiAfspraken!C37&amp;" "&amp;NeoGuiAfspraken!D37&amp;" "&amp; INDEX(tbl_Neo_Opl,NeoBerIV!E25,1)&amp;" " &amp; NeoGuiAfspraken!G37&amp;" (="&amp;NeoGuiAfspraken!H37&amp;" "&amp;NeoGuiAfspraken!I37&amp;"), inlooptijd: "&amp;NeoGuiAfspraken!N37,"")</f>
        <v/>
      </c>
    </row>
    <row r="96" spans="1:2" x14ac:dyDescent="0.35">
      <c r="A96" s="518" t="s">
        <v>1163</v>
      </c>
      <c r="B96" s="816" t="str">
        <f>IF(NeoBerIV!B26&gt;1,INDEX(tbl_Neo_MedIV,NeoBerIV!B26, 1)&amp;" "&amp;NeoGuiAfspraken!C38&amp;" "&amp;NeoGuiAfspraken!D38&amp;" "&amp; INDEX(tbl_Neo_Opl,NeoBerIV!E26,1)&amp;" " &amp; NeoGuiAfspraken!G38&amp;" (="&amp;NeoGuiAfspraken!H38&amp;" "&amp;NeoGuiAfspraken!I38&amp;"), inlooptijd: "&amp;NeoGuiAfspraken!N38,"")</f>
        <v/>
      </c>
    </row>
    <row r="97" spans="1:2" x14ac:dyDescent="0.35">
      <c r="A97" s="518" t="s">
        <v>1163</v>
      </c>
      <c r="B97" s="816" t="str">
        <f>IF(NeoBerIV!B27&gt;1,INDEX(tbl_Neo_MedIV,NeoBerIV!B27, 1)&amp;" "&amp;NeoGuiAfspraken!C39&amp;" "&amp;NeoGuiAfspraken!D39&amp;" "&amp; INDEX(tbl_Neo_Opl,NeoBerIV!E27,1)&amp;" " &amp; NeoGuiAfspraken!G39&amp;" (="&amp;NeoGuiAfspraken!H39&amp;" "&amp;NeoGuiAfspraken!I39&amp;"), inlooptijd: "&amp;NeoGuiAfspraken!N39,"")</f>
        <v/>
      </c>
    </row>
    <row r="98" spans="1:2" x14ac:dyDescent="0.35">
      <c r="A98" s="518" t="s">
        <v>1163</v>
      </c>
      <c r="B98" s="816" t="str">
        <f>IF(NeoBerIV!B28&gt;1,INDEX(tbl_Neo_MedIV,NeoBerIV!B28, 1)&amp;" "&amp;NeoGuiAfspraken!C40&amp;" "&amp;NeoGuiAfspraken!D40&amp;" "&amp; INDEX(tbl_Neo_Opl,NeoBerIV!E28,1)&amp;" " &amp; NeoGuiAfspraken!G40&amp;" (="&amp;NeoGuiAfspraken!H40&amp;" "&amp;NeoGuiAfspraken!I40&amp;"), inlooptijd: "&amp;NeoGuiAfspraken!N40,"")</f>
        <v/>
      </c>
    </row>
    <row r="99" spans="1:2" x14ac:dyDescent="0.35">
      <c r="A99" s="518" t="s">
        <v>1163</v>
      </c>
      <c r="B99" s="816" t="str">
        <f>IF(NeoBerIV!E29&lt;&gt;0, NeoGuiAfspraken!B42&amp;": "&amp; INDEX(tbl_Neo_Opl,NeoBerIV!$E29,1)&amp;" " &amp; NeoGuiAfspraken!G42,"")</f>
        <v/>
      </c>
    </row>
    <row r="100" spans="1:2" x14ac:dyDescent="0.35">
      <c r="A100" s="518" t="s">
        <v>1163</v>
      </c>
      <c r="B100" s="816" t="str">
        <f>IF(NeoBerIV!E30&lt;&gt;0, NeoGuiAfspraken!B43&amp;": "&amp; INDEX(tbl_Neo_Opl,NeoBerIV!$E30,1)&amp;" " &amp; NeoGuiAfspraken!G43,"")</f>
        <v/>
      </c>
    </row>
    <row r="101" spans="1:2" x14ac:dyDescent="0.35">
      <c r="A101" s="518" t="s">
        <v>1163</v>
      </c>
      <c r="B101" s="816" t="str">
        <f>IF(NeoBerIV!E31&lt;&gt;0, NeoGuiAfspraken!B44&amp;": "&amp; INDEX(tbl_Neo_Opl,NeoBerIV!$E31,1)&amp;" " &amp; NeoGuiAfspraken!G44,"")</f>
        <v/>
      </c>
    </row>
    <row r="102" spans="1:2" x14ac:dyDescent="0.35">
      <c r="A102" s="518" t="s">
        <v>1163</v>
      </c>
      <c r="B102" s="271" t="str">
        <f>IF(NeoBerIV!B32="","",NeoBerIV!B32)</f>
        <v/>
      </c>
    </row>
    <row r="103" spans="1:2" x14ac:dyDescent="0.35">
      <c r="A103" s="518" t="s">
        <v>1163</v>
      </c>
      <c r="B103" s="816" t="str">
        <f>IF(NeoBerIV!B33="","",NeoBerIV!B33)</f>
        <v/>
      </c>
    </row>
    <row r="104" spans="1:2" x14ac:dyDescent="0.35">
      <c r="A104" s="518" t="s">
        <v>1163</v>
      </c>
      <c r="B104" s="271" t="str">
        <f ca="1">IF(NeoBerIV!C35&lt;&gt;0,CONCATENATE("Intralipid 20% (incl.vitintra) ",ROUNDUP(NeoBerIV!C35/24,1)," ml/uur"),"")</f>
        <v/>
      </c>
    </row>
    <row r="105" spans="1:2" x14ac:dyDescent="0.35">
      <c r="A105" s="518" t="s">
        <v>1163</v>
      </c>
      <c r="B105" s="271" t="str">
        <f ca="1">IF(Var_Neo_WerkbriefActueelTPNStand&lt;&gt;"",CONCATENATE("TPN: ",Var_Neo_WerkbriefActueelTPNStand, " ml/uur"),"")</f>
        <v/>
      </c>
    </row>
    <row r="106" spans="1:2" x14ac:dyDescent="0.35">
      <c r="A106" s="518" t="s">
        <v>1163</v>
      </c>
      <c r="B106" s="271" t="str">
        <f ca="1">IF(Var_Neo_WerkbriefActueelTPNStand&lt;&gt;"",CONCATENATE("TPN Totaal: ",Var_Neo_WerkbriefActueelTPNTotaalGeheel,",",  ROUND(Var_Neo_WerkbriefActueelTPNTotaalBreuk,0), " ml"),"")</f>
        <v/>
      </c>
    </row>
    <row r="107" spans="1:2" x14ac:dyDescent="0.35">
      <c r="A107" s="518" t="s">
        <v>1163</v>
      </c>
      <c r="B107" s="271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</row>
    <row r="108" spans="1:2" x14ac:dyDescent="0.35">
      <c r="A108" s="518" t="s">
        <v>1163</v>
      </c>
      <c r="B108" s="271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</row>
    <row r="109" spans="1:2" x14ac:dyDescent="0.35">
      <c r="A109" s="518" t="s">
        <v>1163</v>
      </c>
      <c r="B109" s="271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</row>
    <row r="110" spans="1:2" x14ac:dyDescent="0.35">
      <c r="A110" s="518" t="s">
        <v>1163</v>
      </c>
      <c r="B110" s="271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</row>
    <row r="111" spans="1:2" x14ac:dyDescent="0.35">
      <c r="A111" s="518" t="s">
        <v>1163</v>
      </c>
      <c r="B111" s="271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</row>
    <row r="112" spans="1:2" x14ac:dyDescent="0.35">
      <c r="A112" s="518" t="s">
        <v>1163</v>
      </c>
      <c r="B112" s="271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</row>
    <row r="113" spans="1:2" x14ac:dyDescent="0.35">
      <c r="A113" s="518" t="s">
        <v>1163</v>
      </c>
      <c r="B113" s="271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</row>
    <row r="114" spans="1:2" x14ac:dyDescent="0.35">
      <c r="A114" s="518" t="s">
        <v>1163</v>
      </c>
      <c r="B114" s="271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</row>
    <row r="115" spans="1:2" x14ac:dyDescent="0.35">
      <c r="A115" s="518" t="s">
        <v>1163</v>
      </c>
      <c r="B115" s="271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</row>
    <row r="116" spans="1:2" x14ac:dyDescent="0.35">
      <c r="A116" s="518" t="s">
        <v>1163</v>
      </c>
      <c r="B116" s="271" t="str">
        <f>IF(Var_Neo_WerkbriefIntravasaleToegangStand&lt;&gt;"",CONCATENATE(Var_Neo_WerkbriefIntravasaleToegangTekst," ",Var_Neo_WerkbriefIntravasaleToegangStand, " ml/uur"),"")</f>
        <v/>
      </c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Act">
    <tabColor rgb="FF92D050"/>
  </sheetPr>
  <dimension ref="A1:R57"/>
  <sheetViews>
    <sheetView workbookViewId="0">
      <selection activeCell="C4" sqref="C4"/>
    </sheetView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566</v>
      </c>
      <c r="L1" s="321" t="s">
        <v>551</v>
      </c>
      <c r="M1" s="322" t="e">
        <f>_Neo_InfB_Bed</f>
        <v>#NAME?</v>
      </c>
    </row>
    <row r="2" spans="1:16" ht="13.2" x14ac:dyDescent="0.4">
      <c r="A2" s="321" t="s">
        <v>567</v>
      </c>
      <c r="C2" s="323" t="str">
        <f>__3_VoorNaam&amp;" "&amp;__2_AchterNaam</f>
        <v>Test Test</v>
      </c>
      <c r="G2" s="321" t="s">
        <v>568</v>
      </c>
      <c r="I2" s="934">
        <f ca="1">TODAY()</f>
        <v>42736</v>
      </c>
      <c r="J2" s="934"/>
      <c r="K2" s="934"/>
      <c r="L2" s="321" t="s">
        <v>569</v>
      </c>
      <c r="M2" s="935">
        <f ca="1">NOW()</f>
        <v>42736.919156597221</v>
      </c>
      <c r="N2" s="935"/>
    </row>
    <row r="3" spans="1:16" ht="13.2" x14ac:dyDescent="0.4">
      <c r="A3" s="321" t="s">
        <v>570</v>
      </c>
      <c r="C3" s="323">
        <f>(_Pat_Gewicht/10)*1000</f>
        <v>10000</v>
      </c>
      <c r="D3" s="321" t="s">
        <v>31</v>
      </c>
      <c r="I3" s="817"/>
      <c r="J3" s="817"/>
      <c r="K3" s="817"/>
      <c r="M3" s="325"/>
      <c r="N3" s="325"/>
    </row>
    <row r="4" spans="1:16" ht="13.2" x14ac:dyDescent="0.4">
      <c r="G4" s="321" t="s">
        <v>571</v>
      </c>
      <c r="I4" s="323" t="str">
        <f>IF(_Neo_InfB_Arts&gt;0,_Neo_InfB_Arts,"")</f>
        <v/>
      </c>
      <c r="L4" s="321" t="s">
        <v>572</v>
      </c>
      <c r="M4" s="326"/>
      <c r="N4" s="326"/>
      <c r="O4" s="326"/>
      <c r="P4" s="326"/>
    </row>
    <row r="5" spans="1:16" ht="13.2" x14ac:dyDescent="0.4">
      <c r="A5" s="327" t="s">
        <v>191</v>
      </c>
      <c r="B5" s="328"/>
      <c r="C5" s="329" t="s">
        <v>573</v>
      </c>
      <c r="D5" s="329"/>
      <c r="E5" s="329"/>
      <c r="F5" s="329"/>
      <c r="G5" s="329"/>
      <c r="H5" s="330">
        <f ca="1">NeoGuiAfspraken!E28</f>
        <v>0</v>
      </c>
      <c r="I5" s="329" t="s">
        <v>177</v>
      </c>
      <c r="J5" s="329"/>
      <c r="K5" s="329"/>
      <c r="L5" s="329"/>
      <c r="M5" s="936" t="s">
        <v>574</v>
      </c>
      <c r="N5" s="937"/>
      <c r="O5" s="331" t="s">
        <v>575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NeoGuiAfspraken!B30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IF(24*NeoBerIV!B18&gt;0,TRUNC(24*NeoBerIV!B18/10),"")</f>
        <v/>
      </c>
      <c r="N6" s="335" t="str">
        <f>IF(NeoBerIV!B18&gt;0,(24*NeoBerIV!B18/10-M6)*10,"")</f>
        <v/>
      </c>
      <c r="O6" s="331" t="str">
        <f>IF(NeoBerIV!J18,"extra","")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5.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34</v>
      </c>
      <c r="I8" s="339"/>
      <c r="J8" s="339"/>
      <c r="K8" s="339"/>
      <c r="L8" s="340"/>
      <c r="M8" s="341" t="str">
        <f ca="1">IF(NeoBerIV!$K$37&gt;0,IF(_Neo_InfB_DagKeuze&lt;&gt;2,TRUNC(NeoBerIV!$C$37),0),"")</f>
        <v/>
      </c>
      <c r="N8" s="342" t="str">
        <f ca="1">IF(NeoBerIV!$K$37&gt;0,IF(_Neo_1700_DagKeuze&lt;&gt;2,(NeoBerIV!$C$37-M8)*100,0),"")</f>
        <v/>
      </c>
      <c r="O8" s="331"/>
      <c r="P8" s="332"/>
    </row>
    <row r="9" spans="1:16" ht="14.7" x14ac:dyDescent="0.35">
      <c r="A9" s="343"/>
      <c r="B9" s="331"/>
      <c r="C9" s="327"/>
      <c r="D9" s="334"/>
      <c r="E9" s="334"/>
      <c r="F9" s="334"/>
      <c r="G9" s="334"/>
      <c r="H9" s="334" t="s">
        <v>576</v>
      </c>
      <c r="I9" s="334"/>
      <c r="J9" s="334"/>
      <c r="K9" s="334"/>
      <c r="L9" s="328"/>
      <c r="M9" s="344" t="str">
        <f ca="1">IF(NeoBerIV!$K$38&gt;0,IF(_Neo_1700_DagKeuze&lt;&gt;2,TRUNC(NeoBerIV!$C$38),0),"")</f>
        <v/>
      </c>
      <c r="N9" s="335" t="str">
        <f ca="1">IF(NeoBerIV!$K$38&gt;0,IF(_Neo_1700_DagKeuze&lt;&gt;2,(NeoBerIV!$C$38-M9)*100,0),"")</f>
        <v/>
      </c>
      <c r="O9" s="331"/>
      <c r="P9" s="332"/>
    </row>
    <row r="10" spans="1:16" ht="14.7" x14ac:dyDescent="0.35">
      <c r="A10" s="343"/>
      <c r="B10" s="331"/>
      <c r="C10" s="338"/>
      <c r="D10" s="339"/>
      <c r="E10" s="339"/>
      <c r="F10" s="339"/>
      <c r="G10" s="339"/>
      <c r="H10" s="339" t="s">
        <v>453</v>
      </c>
      <c r="I10" s="339"/>
      <c r="J10" s="339"/>
      <c r="K10" s="339"/>
      <c r="L10" s="340"/>
      <c r="M10" s="341" t="str">
        <f ca="1">IF(NeoBerIV!$K$39&gt;0,TRUNC(NeoBerIV!$C$39),"")</f>
        <v/>
      </c>
      <c r="N10" s="342" t="str">
        <f ca="1">IF(NeoBerIV!$K$39&gt;0,IF(_Neo_1700_DagKeuze=1,NeoBerIV!$C$39-M10,0),"")</f>
        <v/>
      </c>
      <c r="O10" s="331"/>
      <c r="P10" s="332"/>
    </row>
    <row r="11" spans="1:16" ht="14.7" x14ac:dyDescent="0.35">
      <c r="A11" s="343"/>
      <c r="B11" s="331"/>
      <c r="C11" s="327"/>
      <c r="D11" s="334"/>
      <c r="E11" s="334"/>
      <c r="F11" s="334"/>
      <c r="G11" s="334"/>
      <c r="H11" s="334" t="s">
        <v>454</v>
      </c>
      <c r="I11" s="334"/>
      <c r="J11" s="334"/>
      <c r="K11" s="334"/>
      <c r="L11" s="328"/>
      <c r="M11" s="344" t="str">
        <f ca="1">IF(NeoBerIV!$K$40&gt;0,TRUNC(NeoBerIV!$C$40),"")</f>
        <v/>
      </c>
      <c r="N11" s="335" t="str">
        <f ca="1">IF(NeoBerIV!$K$40&gt;0,IF(_Neo_1700_DagKeuze=1,(NeoBerIV!$C$40-M11)*100,0),"")</f>
        <v/>
      </c>
      <c r="O11" s="331"/>
      <c r="P11" s="332"/>
    </row>
    <row r="12" spans="1:16" ht="14.7" x14ac:dyDescent="0.35">
      <c r="A12" s="343"/>
      <c r="B12" s="331"/>
      <c r="C12" s="338"/>
      <c r="D12" s="339"/>
      <c r="E12" s="339"/>
      <c r="F12" s="339"/>
      <c r="G12" s="339"/>
      <c r="H12" s="339" t="s">
        <v>217</v>
      </c>
      <c r="I12" s="339"/>
      <c r="J12" s="339"/>
      <c r="K12" s="339"/>
      <c r="L12" s="340"/>
      <c r="M12" s="341" t="str">
        <f ca="1">IF(NeoBerIV!$K$41&gt;0,TRUNC(NeoBerIV!$C$41),"")</f>
        <v/>
      </c>
      <c r="N12" s="342" t="str">
        <f ca="1">IF(NeoBerIV!$K$41&gt;0,IF(_Neo_1700_DagKeuze=1,(NeoBerIV!$C$41-M12)*100,0),"")</f>
        <v/>
      </c>
      <c r="O12" s="331"/>
      <c r="P12" s="332"/>
    </row>
    <row r="13" spans="1:16" ht="14.7" x14ac:dyDescent="0.35">
      <c r="A13" s="343"/>
      <c r="B13" s="331"/>
      <c r="C13" s="327"/>
      <c r="D13" s="334"/>
      <c r="E13" s="334"/>
      <c r="F13" s="334"/>
      <c r="G13" s="334"/>
      <c r="H13" s="334" t="s">
        <v>577</v>
      </c>
      <c r="I13" s="334"/>
      <c r="J13" s="334"/>
      <c r="K13" s="334"/>
      <c r="L13" s="328"/>
      <c r="M13" s="344" t="str">
        <f ca="1">IF(NeoBerIV!$K$42&gt;0,TRUNC(NeoBerIV!$C$42),"")</f>
        <v/>
      </c>
      <c r="N13" s="335" t="str">
        <f ca="1">IF(NeoBerIV!$K$42&gt;0,IF(_Neo_1700_DagKeuze&lt;&gt;1,(NeoBerIV!$C$42-M13)*100,0),"")</f>
        <v/>
      </c>
      <c r="O13" s="331"/>
      <c r="P13" s="332"/>
    </row>
    <row r="14" spans="1:16" ht="14.7" x14ac:dyDescent="0.35">
      <c r="A14" s="343"/>
      <c r="B14" s="331"/>
      <c r="C14" s="338"/>
      <c r="D14" s="339"/>
      <c r="E14" s="339"/>
      <c r="F14" s="339"/>
      <c r="G14" s="339"/>
      <c r="H14" s="339" t="s">
        <v>578</v>
      </c>
      <c r="I14" s="339"/>
      <c r="J14" s="339"/>
      <c r="K14" s="339"/>
      <c r="L14" s="340"/>
      <c r="M14" s="341" t="str">
        <f>IF(_Neo_InfB_DagKeuze=2,TRUNC(NeoBerIV!$C$43),"")</f>
        <v/>
      </c>
      <c r="N14" s="342" t="str">
        <f>IF(_Neo_InfB_DagKeuze=2,(NeoBerIV!$C$43-M14)*100,"")</f>
        <v/>
      </c>
      <c r="O14" s="331"/>
      <c r="P14" s="332"/>
    </row>
    <row r="15" spans="1:16" ht="14.7" x14ac:dyDescent="0.35">
      <c r="A15" s="343"/>
      <c r="B15" s="331"/>
      <c r="C15" s="327"/>
      <c r="D15" s="334"/>
      <c r="E15" s="334"/>
      <c r="F15" s="334"/>
      <c r="G15" s="334"/>
      <c r="H15" s="334" t="s">
        <v>357</v>
      </c>
      <c r="I15" s="334"/>
      <c r="J15" s="334"/>
      <c r="K15" s="334"/>
      <c r="L15" s="328"/>
      <c r="M15" s="344" t="str">
        <f>IF(_Neo_InfB_DagKeuze=3,TRUNC(NeoBerIV!$C$44),"")</f>
        <v/>
      </c>
      <c r="N15" s="335" t="str">
        <f>IF(_Neo_InfB_DagKeuze=3,(NeoBerIV!$C$44-M15)*100,"")</f>
        <v/>
      </c>
      <c r="O15" s="331"/>
      <c r="P15" s="332"/>
    </row>
    <row r="16" spans="1:16" ht="14.7" x14ac:dyDescent="0.35">
      <c r="A16" s="338"/>
      <c r="B16" s="340"/>
      <c r="C16" s="338"/>
      <c r="D16" s="339"/>
      <c r="E16" s="339"/>
      <c r="F16" s="339"/>
      <c r="G16" s="339"/>
      <c r="H16" s="339" t="str">
        <f>INDEX(tbl_Neo_Opl,NeoBerIV!D45+1,1)</f>
        <v>glucose 10%</v>
      </c>
      <c r="I16" s="339"/>
      <c r="J16" s="339"/>
      <c r="K16" s="339"/>
      <c r="L16" s="340"/>
      <c r="M16" s="341" t="str">
        <f>IF(NeoBerIV!$K$45&gt;0,TRUNC(NeoBerIV!$K$45),"")</f>
        <v/>
      </c>
      <c r="N16" s="342" t="str">
        <f>IF(NeoBerIV!$K$45&gt;0,(NeoBerIV!$K$45-M16)*100,"")</f>
        <v/>
      </c>
      <c r="O16" s="331"/>
      <c r="P16" s="332"/>
    </row>
    <row r="17" spans="1:18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124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e">
        <f ca="1">ROUND(IF(SUM(M8:N16)&gt;0,(SUM(M8:M16)+SUM(N8:N16)/100-M17)*100,""),0)</f>
        <v>#VALUE!</v>
      </c>
      <c r="O17" s="331"/>
      <c r="P17" s="332"/>
    </row>
    <row r="18" spans="1:18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8" ht="14.25" customHeight="1" x14ac:dyDescent="0.35">
      <c r="A19" s="327" t="s">
        <v>191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8" ht="14.25" customHeight="1" x14ac:dyDescent="0.4">
      <c r="A20" s="351" t="str">
        <f>IF(F20&lt;&gt;"",_Neo_InfB_Stand_10/10,"")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IF(NeoBerIV!E29&gt;1,INDEX(tbl_Neo_Opl,NeoBerIV!E29,1),"")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IF(_Neo_InfB_VochtExtra_12,"extra","")</f>
        <v/>
      </c>
      <c r="P20" s="332"/>
    </row>
    <row r="21" spans="1:18" ht="14.25" customHeight="1" x14ac:dyDescent="0.4">
      <c r="A21" s="351" t="str">
        <f>IF(F21&lt;&gt;"",_Neo_InfB_Stand_11/10,"")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IF(NeoBerIV!E30&gt;1,INDEX(tbl_Neo_Opl,NeoBerIV!E30,1),"")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IF(_Neo_InfB_VochtExtra_13,"extra","")</f>
        <v/>
      </c>
      <c r="P21" s="332"/>
    </row>
    <row r="22" spans="1:18" ht="14.25" customHeight="1" x14ac:dyDescent="0.4">
      <c r="A22" s="351" t="str">
        <f>IF(F22&lt;&gt;"",_Neo_InfB_Stand_12/10,"")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IF(NeoBerIV!E31&gt;1,INDEX(tbl_Neo_Opl,NeoBerIV!E31,1),"")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IF(_Neo_InfB_VochtExtra_14,"extra","")</f>
        <v/>
      </c>
      <c r="P22" s="332"/>
    </row>
    <row r="23" spans="1:18" ht="14.25" customHeight="1" x14ac:dyDescent="0.4">
      <c r="A23" s="351" t="str">
        <f ca="1">IF(D23&lt;&gt;"",ROUNDUP(NeoBerIV!C35/24,1),"")</f>
        <v/>
      </c>
      <c r="B23" s="352"/>
      <c r="C23" s="353"/>
      <c r="D23" s="327" t="str">
        <f ca="1">IF(NeoBerIV!C35&lt;&gt;0,INDEX(tbl_Neo_IntralipidSmof,_Neo_InfB_IntralipidSmof),"")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IF(D23&lt;&gt;"",TRUNC(NeoBerIV!C35),"")</f>
        <v/>
      </c>
      <c r="N23" s="335" t="str">
        <f ca="1">IF(D23&lt;&gt;"",(NeoBerIV!C35-M23)*100,"")</f>
        <v/>
      </c>
      <c r="O23" s="331"/>
      <c r="P23" s="332"/>
    </row>
    <row r="24" spans="1:18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8" ht="14.25" customHeight="1" x14ac:dyDescent="0.35">
      <c r="A25" s="327" t="s">
        <v>191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8" ht="14.25" customHeight="1" x14ac:dyDescent="0.4">
      <c r="A26" s="351" t="str">
        <f>IF(NeoBerIV!B20&gt;1,NeoBerIV!F20/10,"")</f>
        <v/>
      </c>
      <c r="B26" s="351"/>
      <c r="C26" s="356" t="str">
        <f>IF(A26&lt;&gt;"",IF(NeoBerIV!B20&gt;1,INDEX(tbl_Neo_MedIV,NeoBerIV!B20,1),""),"")</f>
        <v/>
      </c>
      <c r="D26" s="329"/>
      <c r="E26" s="330" t="str">
        <f>IF(A26&lt;&gt;"",IF(NeoBerIV!B20&gt;1,NeoBerIV!C20/10,""),"")</f>
        <v/>
      </c>
      <c r="F26" s="329" t="str">
        <f>IF(_Neo_InfB_Medicament_1&lt;&gt;5,"mg","ml")</f>
        <v>mg</v>
      </c>
      <c r="G26" s="357" t="s">
        <v>579</v>
      </c>
      <c r="H26" s="329" t="str">
        <f>IF(A26&lt;&gt;"",IF(NeoBerIV!B20&gt;1,INDEX(tbl_Neo_MedIV,NeoBerIV!B20,3),""),"")</f>
        <v/>
      </c>
      <c r="I26" s="329" t="s">
        <v>580</v>
      </c>
      <c r="J26" s="329" t="str">
        <f>IF(A26&lt;&gt;"",IF(NeoBerIV!B20&gt;1,INDEX(tbl_Neo_MedIV,NeoBerIV!B20,4),""),"")</f>
        <v/>
      </c>
      <c r="K26" s="329" t="s">
        <v>581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IF(C26&lt;&gt;"",IF(_Neo_InfB_VochtExtra_02,"extra",""),"")</f>
        <v/>
      </c>
      <c r="P26" s="332"/>
      <c r="R26" s="321">
        <f>NeoBerIV!B20</f>
        <v>1</v>
      </c>
    </row>
    <row r="27" spans="1:18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582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8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124</v>
      </c>
      <c r="K28" s="339"/>
      <c r="L28" s="339"/>
      <c r="M28" s="344" t="str">
        <f>IF(A26&lt;&gt;"",TRUNC(_Neo_InfB_OplHoev_1),"")</f>
        <v/>
      </c>
      <c r="N28" s="335" t="str">
        <f>IF(A26&lt;&gt;"",(_Neo_InfB_OplHoev_1-M28)*100,"")</f>
        <v/>
      </c>
      <c r="O28" s="331"/>
      <c r="P28" s="332"/>
    </row>
    <row r="29" spans="1:18" ht="14.25" customHeight="1" x14ac:dyDescent="0.4">
      <c r="A29" s="351" t="str">
        <f>IF(NeoBerIV!B21&gt;1,NeoBerIV!F21/10,"")</f>
        <v/>
      </c>
      <c r="B29" s="351"/>
      <c r="C29" s="356" t="str">
        <f>IF(A29&lt;&gt;"",IF(NeoBerIV!B21&gt;1,INDEX(tbl_Neo_MedIV,NeoBerIV!B21,1),""),"")</f>
        <v/>
      </c>
      <c r="D29" s="329"/>
      <c r="E29" s="330" t="str">
        <f>IF(A29&lt;&gt;"",IF(NeoBerIV!B21&gt;1,NeoBerIV!C21/10,""),"")</f>
        <v/>
      </c>
      <c r="F29" s="329" t="str">
        <f>IF(_Neo_InfB_Medicament_2&lt;&gt;5,"mg","ml")</f>
        <v>mg</v>
      </c>
      <c r="G29" s="357" t="s">
        <v>579</v>
      </c>
      <c r="H29" s="329" t="str">
        <f>IF(A29&lt;&gt;"",IF(NeoBerIV!B21&gt;1,INDEX(tbl_Neo_MedIV,NeoBerIV!B21,3),""),"")</f>
        <v/>
      </c>
      <c r="I29" s="329" t="s">
        <v>580</v>
      </c>
      <c r="J29" s="329" t="str">
        <f>IF(A29&lt;&gt;"",IF(NeoBerIV!B21&gt;1,INDEX(tbl_Neo_MedIV,NeoBerIV!B21,4),""),"")</f>
        <v/>
      </c>
      <c r="K29" s="329" t="s">
        <v>581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IF(C29&lt;&gt;"",IF(_Neo_InfB_VochtExtra_03,"extra",""),"")</f>
        <v/>
      </c>
      <c r="P29" s="332"/>
    </row>
    <row r="30" spans="1:18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582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8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124</v>
      </c>
      <c r="K31" s="339"/>
      <c r="L31" s="339"/>
      <c r="M31" s="344" t="str">
        <f>IF(A29&lt;&gt;"",TRUNC(_Neo_InfB_OplHoev_2),"")</f>
        <v/>
      </c>
      <c r="N31" s="335" t="str">
        <f>IF(A29&lt;&gt;"",(_Neo_InfB_OplHoev_2-M31)*100,"")</f>
        <v/>
      </c>
      <c r="O31" s="331"/>
      <c r="P31" s="332"/>
    </row>
    <row r="32" spans="1:18" ht="14.25" customHeight="1" x14ac:dyDescent="0.4">
      <c r="A32" s="351" t="str">
        <f>IF(NeoBerIV!B22&gt;1,NeoBerIV!F22/10,"")</f>
        <v/>
      </c>
      <c r="B32" s="351"/>
      <c r="C32" s="356" t="str">
        <f>IF(A32&lt;&gt;"",IF(NeoBerIV!B22&gt;1,INDEX(tbl_Neo_MedIV,NeoBerIV!B22,1),""),"")</f>
        <v/>
      </c>
      <c r="D32" s="329"/>
      <c r="E32" s="330" t="str">
        <f>IF(A32&lt;&gt;"",IF(NeoBerIV!B22&gt;1,NeoBerIV!C22/10,""),"")</f>
        <v/>
      </c>
      <c r="F32" s="329" t="str">
        <f>IF(_Neo_InfB_Medicament_3&lt;&gt;5,"mg","ml")</f>
        <v>mg</v>
      </c>
      <c r="G32" s="357" t="s">
        <v>579</v>
      </c>
      <c r="H32" s="329" t="str">
        <f>IF(A32&lt;&gt;"",IF(NeoBerIV!B22&gt;1,INDEX(tbl_Neo_MedIV,NeoBerIV!B22,3),""),"")</f>
        <v/>
      </c>
      <c r="I32" s="329" t="s">
        <v>580</v>
      </c>
      <c r="J32" s="329" t="str">
        <f>IF(A32&lt;&gt;"",IF(NeoBerIV!B22&gt;1,INDEX(tbl_Neo_MedIV,NeoBerIV!B22,4),""),"")</f>
        <v/>
      </c>
      <c r="K32" s="329" t="s">
        <v>581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IF(C32&lt;&gt;"",IF(_Neo_InfB_VochtExtra_04,"extra",""),"")</f>
        <v/>
      </c>
      <c r="P32" s="332"/>
    </row>
    <row r="33" spans="1:16" ht="15.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582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5.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124</v>
      </c>
      <c r="K34" s="339"/>
      <c r="L34" s="339"/>
      <c r="M34" s="344" t="str">
        <f>IF(A32&lt;&gt;"",TRUNC(_Neo_InfB_OplHoev_3),"")</f>
        <v/>
      </c>
      <c r="N34" s="335" t="str">
        <f>IF(A32&lt;&gt;"",(_Neo_InfB_OplHoev_3-M34)*100,"")</f>
        <v/>
      </c>
      <c r="O34" s="331"/>
      <c r="P34" s="332"/>
    </row>
    <row r="35" spans="1:16" ht="15.1" x14ac:dyDescent="0.4">
      <c r="A35" s="351" t="str">
        <f>IF(NeoBerIV!B23&gt;1,NeoBerIV!F23/10,"")</f>
        <v/>
      </c>
      <c r="B35" s="351"/>
      <c r="C35" s="356" t="str">
        <f>IF(A35&lt;&gt;"",IF(NeoBerIV!B23&gt;1,INDEX(tbl_Neo_MedIV,NeoBerIV!B23,1),""),"")</f>
        <v/>
      </c>
      <c r="D35" s="329"/>
      <c r="E35" s="330" t="str">
        <f>IF(A35&lt;&gt;"",IF(NeoBerIV!B23&gt;1,NeoBerIV!C23/10,""),"")</f>
        <v/>
      </c>
      <c r="F35" s="329" t="str">
        <f>IF(_Neo_InfB_Medicament_4&lt;&gt;5,"mg","ml")</f>
        <v>mg</v>
      </c>
      <c r="G35" s="357" t="s">
        <v>579</v>
      </c>
      <c r="H35" s="329" t="str">
        <f>IF(A35&lt;&gt;"",IF(NeoBerIV!B23&gt;1,INDEX(tbl_Neo_MedIV,NeoBerIV!B23,3),""),"")</f>
        <v/>
      </c>
      <c r="I35" s="329" t="s">
        <v>580</v>
      </c>
      <c r="J35" s="329" t="str">
        <f>IF(A35&lt;&gt;"",IF(NeoBerIV!B23&gt;1,INDEX(tbl_Neo_MedIV,NeoBerIV!B23,4),""),"")</f>
        <v/>
      </c>
      <c r="K35" s="329" t="s">
        <v>581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IF(C35&lt;&gt;"",IF(_Neo_InfB_VochtExtra_05,"extra",""),"")</f>
        <v/>
      </c>
      <c r="P35" s="332"/>
    </row>
    <row r="36" spans="1:16" ht="15.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582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5.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124</v>
      </c>
      <c r="K37" s="339"/>
      <c r="L37" s="339"/>
      <c r="M37" s="344" t="str">
        <f>IF(A35&lt;&gt;"",TRUNC(_Neo_InfB_OplHoev_4),"")</f>
        <v/>
      </c>
      <c r="N37" s="335" t="str">
        <f>IF(A35&lt;&gt;"",(_Neo_InfB_OplHoev_4-M37)*100,"")</f>
        <v/>
      </c>
      <c r="O37" s="331"/>
      <c r="P37" s="332"/>
    </row>
    <row r="38" spans="1:16" ht="15.1" x14ac:dyDescent="0.4">
      <c r="A38" s="351" t="str">
        <f>IF(NeoBerIV!B24&gt;1,NeoBerIV!F24/10,"")</f>
        <v/>
      </c>
      <c r="B38" s="351"/>
      <c r="C38" s="356" t="str">
        <f>IF(A38&lt;&gt;"",IF(NeoBerIV!B24&gt;1,INDEX(tbl_Neo_MedIV,NeoBerIV!B24,1),""),"")</f>
        <v/>
      </c>
      <c r="D38" s="329"/>
      <c r="E38" s="330" t="str">
        <f>IF(A38&lt;&gt;"",IF(NeoBerIV!B24&gt;1,NeoBerIV!C24/10,""),"")</f>
        <v/>
      </c>
      <c r="F38" s="329" t="str">
        <f>IF(_Neo_InfB_Medicament_5&lt;&gt;5,"mg","ml")</f>
        <v>mg</v>
      </c>
      <c r="G38" s="357" t="s">
        <v>579</v>
      </c>
      <c r="H38" s="329" t="str">
        <f>IF(A38&lt;&gt;"",IF(NeoBerIV!B24&gt;1,INDEX(tbl_Neo_MedIV,NeoBerIV!B24,3),""),"")</f>
        <v/>
      </c>
      <c r="I38" s="329" t="s">
        <v>580</v>
      </c>
      <c r="J38" s="329" t="str">
        <f>IF(A38&lt;&gt;"",IF(NeoBerIV!B24&gt;1,INDEX(tbl_Neo_MedIV,NeoBerIV!B24,4),""),"")</f>
        <v/>
      </c>
      <c r="K38" s="329" t="s">
        <v>581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IF(C38&lt;&gt;"",IF(_Neo_InfB_VochtExtra_06,"extra",""),"")</f>
        <v/>
      </c>
      <c r="P38" s="332"/>
    </row>
    <row r="39" spans="1:16" ht="15.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582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5.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124</v>
      </c>
      <c r="K40" s="339"/>
      <c r="L40" s="339"/>
      <c r="M40" s="344" t="str">
        <f>IF(A38&lt;&gt;"",TRUNC(_Neo_InfB_OplHoev_5),"")</f>
        <v/>
      </c>
      <c r="N40" s="335" t="str">
        <f>IF(A38&lt;&gt;"",(_Neo_InfB_OplHoev_5-M40)*100,"")</f>
        <v/>
      </c>
      <c r="O40" s="331"/>
      <c r="P40" s="332"/>
    </row>
    <row r="41" spans="1:16" ht="15.1" x14ac:dyDescent="0.4">
      <c r="A41" s="351" t="str">
        <f>IF(NeoBerIV!B25&gt;1,NeoBerIV!F25/10,"")</f>
        <v/>
      </c>
      <c r="B41" s="351"/>
      <c r="C41" s="356" t="str">
        <f>IF(A41&lt;&gt;"",IF(NeoBerIV!B25&gt;1,INDEX(tbl_Neo_MedIV,NeoBerIV!B25,1),""),"")</f>
        <v/>
      </c>
      <c r="D41" s="329"/>
      <c r="E41" s="330" t="str">
        <f>IF(A41&lt;&gt;"",IF(NeoBerIV!B25&gt;1,NeoBerIV!C25/10,""),"")</f>
        <v/>
      </c>
      <c r="F41" s="329" t="str">
        <f>IF(_Neo_InfB_Medicament_6&lt;&gt;5,"mg","ml")</f>
        <v>mg</v>
      </c>
      <c r="G41" s="357" t="s">
        <v>579</v>
      </c>
      <c r="H41" s="329" t="str">
        <f>IF(A41&lt;&gt;"",IF(NeoBerIV!B25&gt;1,INDEX(tbl_Neo_MedIV,NeoBerIV!B25,3),""),"")</f>
        <v/>
      </c>
      <c r="I41" s="329" t="s">
        <v>580</v>
      </c>
      <c r="J41" s="329" t="str">
        <f>IF(A41&lt;&gt;"",IF(NeoBerIV!B25&gt;1,INDEX(tbl_Neo_MedIV,NeoBerIV!B25,4),""),"")</f>
        <v/>
      </c>
      <c r="K41" s="329" t="s">
        <v>581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IF(C41&lt;&gt;"",IF(_Neo_InfB_VochtExtra_07,"extra",""),"")</f>
        <v/>
      </c>
      <c r="P41" s="332"/>
    </row>
    <row r="42" spans="1:16" ht="15.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582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5.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124</v>
      </c>
      <c r="K43" s="339"/>
      <c r="L43" s="339"/>
      <c r="M43" s="344" t="str">
        <f>IF(A41&lt;&gt;"",TRUNC(_Neo_InfB_OplHoev_6),"")</f>
        <v/>
      </c>
      <c r="N43" s="335" t="str">
        <f>IF(A41&lt;&gt;"",(_Neo_InfB_OplHoev_6-M43)*100,"")</f>
        <v/>
      </c>
      <c r="O43" s="331"/>
      <c r="P43" s="332"/>
    </row>
    <row r="44" spans="1:16" ht="15.1" x14ac:dyDescent="0.4">
      <c r="A44" s="351" t="str">
        <f>IF(NeoBerIV!B26&gt;1,NeoBerIV!F26/10,"")</f>
        <v/>
      </c>
      <c r="B44" s="351"/>
      <c r="C44" s="356" t="str">
        <f>IF(A44&lt;&gt;"",IF(NeoBerIV!B26&gt;1,INDEX(tbl_Neo_MedIV,NeoBerIV!B26,1),""),"")</f>
        <v/>
      </c>
      <c r="D44" s="329"/>
      <c r="E44" s="330" t="str">
        <f>IF(A44&lt;&gt;"",IF(NeoBerIV!B26&gt;1,NeoBerIV!C26/10,""),"")</f>
        <v/>
      </c>
      <c r="F44" s="329" t="str">
        <f>IF(_Neo_InfB_Medicament_7&lt;&gt;5,"mg","ml")</f>
        <v>mg</v>
      </c>
      <c r="G44" s="357" t="s">
        <v>579</v>
      </c>
      <c r="H44" s="329" t="str">
        <f>IF(A44&lt;&gt;"",IF(NeoBerIV!B26&gt;1,INDEX(tbl_Neo_MedIV,NeoBerIV!B26,3),""),"")</f>
        <v/>
      </c>
      <c r="I44" s="329" t="s">
        <v>580</v>
      </c>
      <c r="J44" s="329" t="str">
        <f>IF(A44&lt;&gt;"",IF(NeoBerIV!B26&gt;1,INDEX(tbl_Neo_MedIV,NeoBerIV!B26,4),""),"")</f>
        <v/>
      </c>
      <c r="K44" s="329" t="s">
        <v>581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IF(C44&lt;&gt;"",IF(_Neo_InfB_VochtExtra_08,"extra",""),"")</f>
        <v/>
      </c>
      <c r="P44" s="332"/>
    </row>
    <row r="45" spans="1:16" ht="15.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582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5.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124</v>
      </c>
      <c r="K46" s="339"/>
      <c r="L46" s="339"/>
      <c r="M46" s="344" t="str">
        <f>IF(A44&lt;&gt;"",TRUNC(_Neo_InfB_OplHoev_7),"")</f>
        <v/>
      </c>
      <c r="N46" s="335" t="str">
        <f>IF(A44&lt;&gt;"",(_Neo_InfB_OplHoev_7-M46)*100,"")</f>
        <v/>
      </c>
      <c r="O46" s="331"/>
      <c r="P46" s="332"/>
    </row>
    <row r="47" spans="1:16" ht="15.1" x14ac:dyDescent="0.4">
      <c r="A47" s="351" t="str">
        <f>IF(NeoBerIV!B27&gt;1,NeoBerIV!F27/10,"")</f>
        <v/>
      </c>
      <c r="B47" s="351"/>
      <c r="C47" s="356" t="str">
        <f>IF(A47&lt;&gt;"",IF(NeoBerIV!B27&gt;1,INDEX(tbl_Neo_MedIV,NeoBerIV!B27,1),""),"")</f>
        <v/>
      </c>
      <c r="D47" s="329"/>
      <c r="E47" s="330" t="str">
        <f>IF(A47&lt;&gt;"",IF(NeoBerIV!B27&gt;1,NeoBerIV!C27/10,""),"")</f>
        <v/>
      </c>
      <c r="F47" s="329" t="str">
        <f>IF(_Neo_InfB_Medicament_8&lt;&gt;5,"mg","ml")</f>
        <v>mg</v>
      </c>
      <c r="G47" s="357" t="s">
        <v>579</v>
      </c>
      <c r="H47" s="329" t="str">
        <f>IF(A47&lt;&gt;"",IF(NeoBerIV!B27&gt;1,INDEX(tbl_Neo_MedIV,NeoBerIV!B27,3),""),"")</f>
        <v/>
      </c>
      <c r="I47" s="329" t="s">
        <v>580</v>
      </c>
      <c r="J47" s="329" t="str">
        <f>IF(A47&lt;&gt;"",IF(NeoBerIV!B27&gt;1,INDEX(tbl_Neo_MedIV,NeoBerIV!B27,4),""),"")</f>
        <v/>
      </c>
      <c r="K47" s="329" t="s">
        <v>581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IF(C47&lt;&gt;"",IF(_Neo_InfB_VochtExtra_02=8,"extra",""),"")</f>
        <v/>
      </c>
      <c r="P47" s="332"/>
    </row>
    <row r="48" spans="1:16" ht="15.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582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5.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124</v>
      </c>
      <c r="K49" s="339"/>
      <c r="L49" s="339"/>
      <c r="M49" s="344" t="str">
        <f>IF(A47&lt;&gt;"",TRUNC(_Neo_InfB_OplHoev_8),"")</f>
        <v/>
      </c>
      <c r="N49" s="335" t="str">
        <f>IF(A47&lt;&gt;"",(_Neo_InfB_OplHoev_8-M49)*100,"")</f>
        <v/>
      </c>
      <c r="O49" s="331"/>
      <c r="P49" s="332"/>
    </row>
    <row r="50" spans="1:16" ht="15.1" x14ac:dyDescent="0.4">
      <c r="A50" s="351" t="str">
        <f>IF(NeoBerIV!B28&gt;1,NeoBerIV!F28/10,"")</f>
        <v/>
      </c>
      <c r="B50" s="351"/>
      <c r="C50" s="356" t="str">
        <f>IF(A50&lt;&gt;"",IF(NeoBerIV!B28&gt;1,INDEX(tbl_Neo_MedIV,NeoBerIV!B28,1),""),"")</f>
        <v/>
      </c>
      <c r="D50" s="329"/>
      <c r="E50" s="330" t="str">
        <f>IF(A50&lt;&gt;"",IF(NeoBerIV!B28&gt;1,NeoBerIV!C28/10,""),"")</f>
        <v/>
      </c>
      <c r="F50" s="329" t="str">
        <f>IF(_Neo_InfB_Medicament_9&lt;&gt;5,"mg","ml")</f>
        <v>mg</v>
      </c>
      <c r="G50" s="357" t="s">
        <v>579</v>
      </c>
      <c r="H50" s="329" t="str">
        <f>IF(A50&lt;&gt;"",IF(NeoBerIV!B28&gt;1,INDEX(tbl_Neo_MedIV,NeoBerIV!B28,3),""),"")</f>
        <v/>
      </c>
      <c r="I50" s="329" t="s">
        <v>580</v>
      </c>
      <c r="J50" s="329" t="str">
        <f>IF(A50&lt;&gt;"",IF(NeoBerIV!B28&gt;1,INDEX(tbl_Neo_MedIV,NeoBerIV!B28,4),""),"")</f>
        <v/>
      </c>
      <c r="K50" s="329" t="s">
        <v>581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IF(C50&lt;&gt;"",IF(_Neo_InfB_VochtExtra_10,"extra",""),"")</f>
        <v/>
      </c>
      <c r="P50" s="332"/>
    </row>
    <row r="51" spans="1:16" ht="15.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582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5.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124</v>
      </c>
      <c r="K52" s="339"/>
      <c r="L52" s="339"/>
      <c r="M52" s="344" t="str">
        <f>IF(A50&lt;&gt;"",TRUNC(_Neo_InfB_OplHoev_9),"")</f>
        <v/>
      </c>
      <c r="N52" s="335" t="str">
        <f>IF(A50&lt;&gt;"",(_Neo_InfB_OplHoev_9-M52)*100,"")</f>
        <v/>
      </c>
      <c r="O52" s="331"/>
      <c r="P52" s="332"/>
    </row>
    <row r="53" spans="1:16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x14ac:dyDescent="0.35">
      <c r="D57" s="370"/>
    </row>
  </sheetData>
  <mergeCells count="3">
    <mergeCell ref="I2:K2"/>
    <mergeCell ref="M2:N2"/>
    <mergeCell ref="M5:N5"/>
  </mergeCells>
  <pageMargins left="0.7" right="0.7" top="0.75" bottom="0.75" header="0.3" footer="0.3"/>
  <pageSetup paperSize="0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756" customWidth="1"/>
    <col min="2" max="5" width="12.3984375" style="756" customWidth="1"/>
    <col min="6" max="6" width="10.73046875" style="756" customWidth="1"/>
    <col min="7" max="11" width="12.3984375" style="756" customWidth="1"/>
    <col min="12" max="12" width="5.265625" style="756" customWidth="1"/>
    <col min="13" max="13" width="7.86328125" style="756" customWidth="1"/>
    <col min="14" max="14" width="17.1328125" style="756" customWidth="1"/>
    <col min="15" max="19" width="12.3984375" style="756" customWidth="1"/>
    <col min="20" max="16384" width="9.1328125" style="756"/>
  </cols>
  <sheetData>
    <row r="1" spans="1:15" ht="9.75" customHeight="1" x14ac:dyDescent="0.35">
      <c r="A1" s="754"/>
      <c r="B1" s="755" t="str">
        <f>IF(E60&lt;0,"Te weinig volume voor TPN!","")</f>
        <v/>
      </c>
    </row>
    <row r="2" spans="1:15" ht="15.95" customHeight="1" x14ac:dyDescent="0.35">
      <c r="B2" s="757" t="s">
        <v>381</v>
      </c>
      <c r="C2" s="757" t="s">
        <v>591</v>
      </c>
      <c r="D2" s="757" t="s">
        <v>592</v>
      </c>
      <c r="E2" s="757" t="s">
        <v>124</v>
      </c>
      <c r="G2" s="757"/>
      <c r="H2" s="757" t="s">
        <v>591</v>
      </c>
      <c r="I2" s="757" t="s">
        <v>592</v>
      </c>
      <c r="J2" s="757" t="s">
        <v>124</v>
      </c>
      <c r="K2" s="938" t="s">
        <v>1167</v>
      </c>
      <c r="L2" s="938"/>
      <c r="M2" s="938"/>
      <c r="N2" s="938"/>
    </row>
    <row r="3" spans="1:15" ht="15.95" customHeight="1" x14ac:dyDescent="0.4">
      <c r="B3" s="758" t="s">
        <v>335</v>
      </c>
      <c r="C3" s="759" t="str">
        <f ca="1">ROUND(NeoBer1700!K50/(_Pat_Gewicht/10),0)&amp;" ml/kg"</f>
        <v>0 ml/kg</v>
      </c>
      <c r="D3" s="759" t="str">
        <f>ROUND(NeoBer1700!K49/(_Pat_Gewicht/10),0)&amp;" ml/kg"</f>
        <v>0 ml/kg</v>
      </c>
      <c r="E3" s="759" t="str">
        <f ca="1">ROUND(NeoBer1700!K47/(_Pat_Gewicht/10),0)&amp;" ml/kg  "&amp;"= "&amp;ROUND(NeoBer1700!K47,0)&amp;" ml"</f>
        <v>0 ml/kg  = 0 ml</v>
      </c>
      <c r="G3" s="758" t="s">
        <v>183</v>
      </c>
      <c r="H3" s="759" t="str">
        <f ca="1">ROUND(NeoBer1700!L50/(_Pat_Gewicht/10),1)&amp;" mmol/kg"</f>
        <v>0 mmol/kg</v>
      </c>
      <c r="I3" s="759" t="str">
        <f>ROUND(NeoBer1700!L49/(_Pat_Gewicht/10),1)&amp;" mmol/kg"</f>
        <v>0 mmol/kg</v>
      </c>
      <c r="J3" s="759" t="str">
        <f ca="1">ROUND(NeoBer1700!L47/(_Pat_Gewicht/10),1)&amp;" mmol/kg"</f>
        <v>0 mmol/kg</v>
      </c>
      <c r="K3" s="938"/>
      <c r="L3" s="938"/>
      <c r="M3" s="938"/>
      <c r="N3" s="938"/>
    </row>
    <row r="4" spans="1:15" ht="15.95" customHeight="1" x14ac:dyDescent="0.4">
      <c r="B4" s="758" t="s">
        <v>241</v>
      </c>
      <c r="C4" s="759" t="str">
        <f ca="1">ROUND(NeoBer1700!Q50/(_Pat_Gewicht/10),1)&amp;" g/kg"</f>
        <v>0 g/kg</v>
      </c>
      <c r="D4" s="759" t="str">
        <f>ROUND(NeoBer1700!Q49/(_Pat_Gewicht/10),1)&amp;" g/kg"</f>
        <v>0 g/kg</v>
      </c>
      <c r="E4" s="759" t="str">
        <f ca="1">ROUND(NeoBer1700!Q47/(_Pat_Gewicht/10),1)&amp;" g/kg"</f>
        <v>0 g/kg</v>
      </c>
      <c r="G4" s="758" t="s">
        <v>302</v>
      </c>
      <c r="H4" s="759" t="str">
        <f ca="1">ROUND(NeoBer1700!M50/(_Pat_Gewicht/10),1)&amp;" mmol/kg"</f>
        <v>0 mmol/kg</v>
      </c>
      <c r="I4" s="759" t="str">
        <f>ROUND(NeoBer1700!M49/(_Pat_Gewicht/10),1)&amp;" mmol/kg"</f>
        <v>0 mmol/kg</v>
      </c>
      <c r="J4" s="759" t="str">
        <f ca="1">ROUND(NeoBer1700!M47/(_Pat_Gewicht/10),1)&amp;" mmol/kg"</f>
        <v>0 mmol/kg</v>
      </c>
      <c r="K4" s="938"/>
      <c r="L4" s="938"/>
      <c r="M4" s="938"/>
      <c r="N4" s="938"/>
    </row>
    <row r="5" spans="1:15" ht="15.95" customHeight="1" x14ac:dyDescent="0.4">
      <c r="B5" s="758" t="s">
        <v>242</v>
      </c>
      <c r="C5" s="759" t="str">
        <f ca="1">ROUND(NeoBer1700!S50/(_Pat_Gewicht/10),1)&amp;" g/kg"</f>
        <v>0 g/kg</v>
      </c>
      <c r="D5" s="759" t="str">
        <f>ROUND(NeoBer1700!S49/(_Pat_Gewicht/10),1)&amp;" g/kg"</f>
        <v>0 g/kg</v>
      </c>
      <c r="E5" s="759" t="str">
        <f ca="1">ROUND(NeoBer1700!S47/(_Pat_Gewicht/10),1)&amp;" g/kg"</f>
        <v>0 g/kg</v>
      </c>
      <c r="G5" s="758" t="s">
        <v>243</v>
      </c>
      <c r="H5" s="759" t="str">
        <f ca="1">ROUND(NeoBer1700!N50/(_Pat_Gewicht/10),1)&amp;" mmol/kg"</f>
        <v>0 mmol/kg</v>
      </c>
      <c r="I5" s="759" t="str">
        <f>ROUND(NeoBer1700!N49/(_Pat_Gewicht/10),1)&amp;" mmol/kg"</f>
        <v>0 mmol/kg</v>
      </c>
      <c r="J5" s="759" t="str">
        <f ca="1">ROUND(NeoBer1700!N47/(_Pat_Gewicht/10),1)&amp;" mmol/kg"</f>
        <v>0 mmol/kg</v>
      </c>
      <c r="K5" s="938"/>
      <c r="L5" s="938"/>
      <c r="M5" s="938"/>
      <c r="N5" s="938"/>
    </row>
    <row r="6" spans="1:15" ht="15.95" customHeight="1" x14ac:dyDescent="0.4">
      <c r="A6" s="754"/>
      <c r="B6" s="758" t="s">
        <v>593</v>
      </c>
      <c r="C6" s="759" t="str">
        <f>ROUND(1000*NeoBer1700!R50/(_Pat_Gewicht/10)/1440,1)&amp;" mg/kg/min"</f>
        <v>0 mg/kg/min</v>
      </c>
      <c r="D6" s="759" t="str">
        <f>ROUND(1000*NeoBer1700!R49/(_Pat_Gewicht/10)/1440,1)&amp;" mg/kg/min"</f>
        <v>0 mg/kg/min</v>
      </c>
      <c r="E6" s="759" t="str">
        <f>ROUND(1000*NeoBer1700!R47/(_Pat_Gewicht/10)/1440,1)&amp;" mg/kg/min"</f>
        <v>0 mg/kg/min</v>
      </c>
      <c r="G6" s="758" t="s">
        <v>340</v>
      </c>
      <c r="H6" s="759" t="str">
        <f ca="1">ROUND(NeoBer1700!O50/(_Pat_Gewicht/10),1)&amp;" mmol/kg"</f>
        <v>0 mmol/kg</v>
      </c>
      <c r="I6" s="759" t="str">
        <f>ROUND(NeoBer1700!O49/(_Pat_Gewicht/10),1)&amp;" mmol/kg"</f>
        <v>0 mmol/kg</v>
      </c>
      <c r="J6" s="759" t="str">
        <f ca="1">ROUND(NeoBer1700!O47/(_Pat_Gewicht/10),1)&amp;" mmol/kg"</f>
        <v>0 mmol/kg</v>
      </c>
    </row>
    <row r="7" spans="1:15" ht="15.95" customHeight="1" x14ac:dyDescent="0.4">
      <c r="B7" s="758" t="s">
        <v>586</v>
      </c>
      <c r="C7" s="759" t="str">
        <f ca="1">ROUND(NeoBer1700!T50/(_Pat_Gewicht/10),1)&amp; " kcal/kg"</f>
        <v>0 kcal/kg</v>
      </c>
      <c r="D7" s="759" t="str">
        <f>ROUND(NeoBer1700!T49/(_Pat_Gewicht/10),1)&amp; " kcal/kg"</f>
        <v>0 kcal/kg</v>
      </c>
      <c r="E7" s="759" t="str">
        <f ca="1">ROUND(NeoBer1700!T47/(_Pat_Gewicht/10),1)&amp; " kcal/kg"</f>
        <v>0 kcal/kg</v>
      </c>
      <c r="G7" s="758" t="s">
        <v>594</v>
      </c>
      <c r="H7" s="759" t="str">
        <f ca="1">ROUND(NeoBer1700!U50/(_Pat_Gewicht/10),1)&amp;" mmol/kg"</f>
        <v>0 mmol/kg</v>
      </c>
      <c r="I7" s="759" t="str">
        <f>ROUND(NeoBer1700!U49/(_Pat_Gewicht/10),1)&amp;" mmol/kg"</f>
        <v>0 mmol/kg</v>
      </c>
      <c r="J7" s="759" t="str">
        <f ca="1">ROUND(NeoBer1700!U47/(_Pat_Gewicht/10),1)&amp;" mmol/kg"</f>
        <v>0 mmol/kg</v>
      </c>
    </row>
    <row r="8" spans="1:15" ht="15.95" customHeight="1" thickBot="1" x14ac:dyDescent="0.45">
      <c r="A8" s="760"/>
      <c r="B8" s="761" t="s">
        <v>595</v>
      </c>
      <c r="C8" s="762" t="str">
        <f ca="1">ROUND(NeoBer1700!V50,0)&amp; " IE/ml"</f>
        <v>0 IE/ml</v>
      </c>
      <c r="D8" s="762" t="str">
        <f>ROUND(NeoBer1700!V49,0)&amp; " IE/ml"</f>
        <v>0 IE/ml</v>
      </c>
      <c r="E8" s="762" t="str">
        <f ca="1">ROUND(NeoBer1700!V47,0)&amp; " IE/ml"</f>
        <v>0 IE/ml</v>
      </c>
      <c r="F8" s="760"/>
      <c r="G8" s="761" t="s">
        <v>244</v>
      </c>
      <c r="H8" s="762" t="str">
        <f>ROUND(NeoBer1700!P50/(_Pat_Gewicht/10),1)&amp;" mmol/kg"</f>
        <v>0 mmol/kg</v>
      </c>
      <c r="I8" s="762" t="str">
        <f>ROUND(NeoBer1700!P49/(_Pat_Gewicht/10),1)&amp;" mmol/kg"</f>
        <v>0 mmol/kg</v>
      </c>
      <c r="J8" s="762" t="str">
        <f>ROUND(NeoBer1700!P47/(_Pat_Gewicht/10),1)&amp;" mmol/kg"</f>
        <v>0 mmol/kg</v>
      </c>
      <c r="K8" s="760"/>
      <c r="L8" s="760"/>
      <c r="M8" s="760"/>
      <c r="N8" s="760"/>
      <c r="O8" s="760"/>
    </row>
    <row r="9" spans="1:15" ht="8.3000000000000007" customHeight="1" thickTop="1" x14ac:dyDescent="0.4">
      <c r="A9" s="763"/>
      <c r="B9" s="764"/>
      <c r="C9" s="765"/>
      <c r="D9" s="765"/>
      <c r="E9" s="765"/>
      <c r="F9" s="766"/>
      <c r="G9" s="764"/>
      <c r="H9" s="765"/>
      <c r="I9" s="765"/>
      <c r="J9" s="765"/>
      <c r="K9" s="766"/>
      <c r="L9" s="766"/>
      <c r="M9" s="766"/>
      <c r="N9" s="766"/>
    </row>
    <row r="10" spans="1:15" ht="15.95" customHeight="1" x14ac:dyDescent="0.4">
      <c r="B10" s="498" t="s">
        <v>596</v>
      </c>
      <c r="C10" s="499"/>
      <c r="D10" s="499"/>
      <c r="E10" s="499"/>
      <c r="F10" s="499"/>
      <c r="G10" s="500" t="s">
        <v>371</v>
      </c>
      <c r="H10" s="499"/>
      <c r="I10" s="499">
        <f>__0_PatNum</f>
        <v>123456</v>
      </c>
      <c r="J10" s="499"/>
      <c r="K10" s="499"/>
      <c r="L10" s="499"/>
      <c r="M10" s="499"/>
    </row>
    <row r="11" spans="1:15" ht="15.95" customHeight="1" x14ac:dyDescent="0.4">
      <c r="B11" s="498" t="s">
        <v>597</v>
      </c>
      <c r="C11" s="499"/>
      <c r="D11" s="499"/>
      <c r="E11" s="499"/>
      <c r="F11" s="499"/>
      <c r="G11" s="500" t="s">
        <v>28</v>
      </c>
      <c r="H11" s="499"/>
      <c r="I11" s="501" t="str">
        <f>__2_AchterNaam &amp;",  "&amp;__3_VoorNaam</f>
        <v>Test,  Test</v>
      </c>
      <c r="J11" s="502"/>
      <c r="K11" s="499"/>
      <c r="L11" s="499"/>
      <c r="M11" s="499"/>
    </row>
    <row r="12" spans="1:15" ht="15.95" customHeight="1" x14ac:dyDescent="0.4">
      <c r="B12" s="498" t="s">
        <v>598</v>
      </c>
      <c r="C12" s="499"/>
      <c r="D12" s="499"/>
      <c r="E12" s="499"/>
      <c r="F12" s="499"/>
      <c r="G12" s="500" t="s">
        <v>599</v>
      </c>
      <c r="H12" s="499"/>
      <c r="I12" s="503">
        <f>NeoBer1700!B3-NeoBer1700!C3</f>
        <v>42736</v>
      </c>
      <c r="J12" s="504" t="str">
        <f ca="1">"=dag "&amp;NeoBer1700!B6</f>
        <v>=dag 1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556</v>
      </c>
      <c r="H13" s="505">
        <f>NeoBerIV!D4</f>
        <v>30</v>
      </c>
      <c r="I13" s="506" t="s">
        <v>600</v>
      </c>
      <c r="J13" s="505">
        <f>NeoBerIV!D5</f>
        <v>0</v>
      </c>
      <c r="K13" s="506" t="s">
        <v>601</v>
      </c>
      <c r="L13" s="506"/>
      <c r="M13" s="499"/>
    </row>
    <row r="14" spans="1:15" ht="15.95" customHeight="1" x14ac:dyDescent="0.4">
      <c r="B14" s="500" t="s">
        <v>328</v>
      </c>
      <c r="C14" s="503">
        <f>NeoBer1700!B5</f>
        <v>42736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551</v>
      </c>
      <c r="C15" s="508" t="str">
        <f>__1_Bed</f>
        <v>Unit 1.2</v>
      </c>
      <c r="D15" s="509"/>
      <c r="E15" s="499"/>
      <c r="F15" s="499"/>
      <c r="G15" s="500" t="s">
        <v>298</v>
      </c>
      <c r="H15" s="510" t="str">
        <f ca="1">TRUNC((H13*7+J13+NeoBer1700!B6-1)/7)&amp;" weken en "&amp; H13*7+J13+NeoBer1700!B6-1-TRUNC((H13*7+J13+NeoBer1700!B6-1)/7)*7&amp;" dag(-en)"</f>
        <v>30 weken en 0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570</v>
      </c>
      <c r="H16" s="512" t="str">
        <f>NeoBerIV!B4&amp;"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758"/>
      <c r="K17" s="772" t="s">
        <v>602</v>
      </c>
      <c r="L17" s="772"/>
    </row>
    <row r="18" spans="1:15" ht="15.95" customHeight="1" x14ac:dyDescent="0.4">
      <c r="B18" s="758" t="s">
        <v>603</v>
      </c>
      <c r="E18" s="773">
        <f ca="1">IF(NeoBer1700!B17,NeoBer1700!C16,ROUND(NeoBer1700!K47/(_Pat_Gewicht/10),1))</f>
        <v>0</v>
      </c>
      <c r="F18" s="774" t="s">
        <v>604</v>
      </c>
      <c r="K18" s="775" t="str">
        <f ca="1">ROUND(NeoBer1700!B16,0)&amp;" ml/ kg/ 24 uur"</f>
        <v>50 ml/ kg/ 24 uur</v>
      </c>
      <c r="L18" s="775"/>
      <c r="M18" s="776"/>
    </row>
    <row r="19" spans="1:15" ht="15.95" customHeight="1" x14ac:dyDescent="0.4">
      <c r="B19" s="758" t="s">
        <v>605</v>
      </c>
      <c r="F19" s="774"/>
      <c r="K19" s="777"/>
      <c r="L19" s="777"/>
      <c r="M19" s="766"/>
    </row>
    <row r="21" spans="1:15" ht="15.95" customHeight="1" x14ac:dyDescent="0.4">
      <c r="D21" s="778" t="s">
        <v>606</v>
      </c>
      <c r="E21" s="768" t="str">
        <f>IF(_Neo_1700_Voeding&gt;1,NeoBer1700!D10,"")</f>
        <v/>
      </c>
      <c r="F21" s="768" t="s">
        <v>607</v>
      </c>
      <c r="G21" s="769" t="str">
        <f>IF(_Neo_1700_Voeding&gt;1,NeoBer1700!D11/10&amp;" ml","")</f>
        <v/>
      </c>
      <c r="H21" s="779" t="s">
        <v>608</v>
      </c>
    </row>
    <row r="22" spans="1:15" ht="15.95" customHeight="1" x14ac:dyDescent="0.4">
      <c r="D22" s="778" t="s">
        <v>609</v>
      </c>
      <c r="E22" s="768" t="str">
        <f>IF(_Neo_1700_Voeding&gt;1,NeoBer1700!D12,"")</f>
        <v/>
      </c>
      <c r="F22" s="768" t="s">
        <v>607</v>
      </c>
      <c r="G22" s="769" t="str">
        <f>IF(_Neo_1700_Voeding&gt;1,NeoBer1700!D13/10&amp;" ml","")</f>
        <v/>
      </c>
      <c r="I22" s="778" t="s">
        <v>963</v>
      </c>
      <c r="M22" s="778" t="s">
        <v>964</v>
      </c>
    </row>
    <row r="23" spans="1:15" ht="15.95" customHeight="1" x14ac:dyDescent="0.4">
      <c r="H23" s="778"/>
      <c r="I23" s="780" t="s">
        <v>981</v>
      </c>
      <c r="K23" s="776" t="e">
        <f>INDEX(tbl_Neo_NutrBMFWaard,NeoBer1700!K52)&amp;" %"</f>
        <v>#VALUE!</v>
      </c>
    </row>
    <row r="24" spans="1:15" ht="15.95" customHeight="1" x14ac:dyDescent="0.4">
      <c r="H24" s="778"/>
      <c r="K24" s="776" t="e">
        <f>INDEX(tbl_Neo_NutrToevWaard,NeoBer1700!K53)&amp;" %"</f>
        <v>#VALUE!</v>
      </c>
      <c r="O24" s="776" t="e">
        <f>INDEX(tbl_Neo_NutrToevWaard,NeoBer1700!K58)&amp;" %"</f>
        <v>#VALUE!</v>
      </c>
    </row>
    <row r="25" spans="1:15" ht="15.95" customHeight="1" x14ac:dyDescent="0.4">
      <c r="H25" s="778"/>
      <c r="K25" s="776" t="e">
        <f>INDEX(tbl_Neo_NutrToevWaard,NeoBer1700!K54)&amp;" %"</f>
        <v>#VALUE!</v>
      </c>
      <c r="O25" s="776" t="e">
        <f>INDEX(tbl_Neo_NutrToevWaard,NeoBer1700!K59)&amp;" %"</f>
        <v>#VALUE!</v>
      </c>
    </row>
    <row r="26" spans="1:15" ht="15.95" customHeight="1" x14ac:dyDescent="0.4">
      <c r="H26" s="778"/>
      <c r="K26" s="776" t="e">
        <f>INDEX(tbl_Neo_NutrToevWaard,NeoBer1700!K55)&amp;" %"</f>
        <v>#VALUE!</v>
      </c>
      <c r="O26" s="776" t="e">
        <f>INDEX(tbl_Neo_NutrToevWaard,NeoBer1700!K60)&amp;" %"</f>
        <v>#VALUE!</v>
      </c>
    </row>
    <row r="27" spans="1:15" ht="15.95" customHeight="1" x14ac:dyDescent="0.4">
      <c r="B27" s="781"/>
      <c r="C27" s="781"/>
      <c r="D27" s="781"/>
      <c r="E27" s="782"/>
      <c r="F27" s="781"/>
      <c r="G27" s="781"/>
      <c r="H27" s="782"/>
      <c r="I27" s="781"/>
      <c r="J27" s="781"/>
      <c r="K27" s="776" t="e">
        <f>INDEX(tbl_Neo_NutrToevWaard,NeoBer1700!K56)&amp;" %"</f>
        <v>#VALUE!</v>
      </c>
      <c r="L27" s="781"/>
      <c r="M27" s="781"/>
      <c r="N27" s="781"/>
      <c r="O27" s="776" t="e">
        <f>INDEX(tbl_Neo_NutrToevWaard,NeoBer1700!K61)&amp;" %"</f>
        <v>#VALUE!</v>
      </c>
    </row>
    <row r="28" spans="1:15" ht="15.95" customHeight="1" x14ac:dyDescent="0.4">
      <c r="B28" s="758" t="s">
        <v>610</v>
      </c>
      <c r="E28" s="773">
        <f ca="1">IF(NeoBer1700!B17,NeoBer1700!C17,NeoBer1700!K50)</f>
        <v>0</v>
      </c>
      <c r="F28" s="774" t="s">
        <v>611</v>
      </c>
    </row>
    <row r="29" spans="1:15" ht="15.95" customHeight="1" x14ac:dyDescent="0.35">
      <c r="H29" s="772" t="s">
        <v>612</v>
      </c>
      <c r="I29" s="772"/>
      <c r="J29" s="783" t="s">
        <v>560</v>
      </c>
      <c r="K29" s="772" t="s">
        <v>613</v>
      </c>
      <c r="L29" s="772"/>
      <c r="N29" s="772" t="s">
        <v>614</v>
      </c>
    </row>
    <row r="30" spans="1:15" ht="15.95" customHeight="1" x14ac:dyDescent="0.4">
      <c r="A30" s="784"/>
      <c r="B30" s="764" t="s">
        <v>779</v>
      </c>
      <c r="C30" s="766"/>
      <c r="D30" s="766"/>
      <c r="E30" s="766"/>
      <c r="F30" s="766"/>
      <c r="G30" s="785" t="str">
        <f>NeoBer1700!B18/10&amp;" ml/uur"</f>
        <v>0 ml/uur</v>
      </c>
      <c r="H30" s="766"/>
      <c r="I30" s="766"/>
      <c r="J30" s="766"/>
      <c r="K30" s="766"/>
      <c r="L30" s="766"/>
      <c r="M30" s="786"/>
      <c r="N30" s="766"/>
    </row>
    <row r="31" spans="1:15" ht="7.55" customHeight="1" x14ac:dyDescent="0.4">
      <c r="A31" s="784"/>
      <c r="B31" s="764"/>
      <c r="C31" s="766"/>
      <c r="D31" s="766"/>
      <c r="E31" s="766"/>
      <c r="F31" s="766"/>
      <c r="G31" s="785"/>
      <c r="H31" s="766"/>
      <c r="I31" s="766"/>
      <c r="J31" s="766"/>
      <c r="K31" s="766"/>
      <c r="L31" s="766"/>
      <c r="M31" s="786"/>
      <c r="N31" s="766"/>
    </row>
    <row r="32" spans="1:15" ht="15.95" customHeight="1" x14ac:dyDescent="0.4">
      <c r="A32" s="784">
        <v>1</v>
      </c>
      <c r="B32" s="787"/>
      <c r="C32" s="788" t="str">
        <f>IF(NeoBer1700!C20&gt;0,IF(NeoBer1700!B20&lt;&gt;5,NeoBer1700!C20/10&amp;" mg",NeoBer1700!C20/10&amp;" ml"),"")</f>
        <v/>
      </c>
      <c r="D32" s="788" t="str">
        <f>IF(NeoBer1700!D20&gt;0,"in "&amp;NeoBer1700!D20&amp;" ml","")</f>
        <v/>
      </c>
      <c r="E32" s="787"/>
      <c r="F32" s="787"/>
      <c r="G32" s="789" t="str">
        <f>IF(NeoBer1700!F20/10&gt;0,NeoBer1700!F20/10&amp;" ml/uur","")</f>
        <v/>
      </c>
      <c r="H32" s="788" t="str">
        <f>IF(AND(NeoBer1700!H20&gt;0),ROUND(NeoBer1700!H20,2),"")</f>
        <v/>
      </c>
      <c r="I32" s="788" t="str">
        <f>IF(_Neo_1700_Medicament_1&gt;1,INDEX(tbl_Neo_MedIV,NeoBer1700!B20,6),"")</f>
        <v/>
      </c>
      <c r="J32" s="776"/>
      <c r="K32" s="775">
        <f>INDEX(tbl_Neo_MedIV,NeoBer1700!B20,2)</f>
        <v>0</v>
      </c>
      <c r="L32" s="775"/>
      <c r="M32" s="790"/>
      <c r="N32" s="791" t="str">
        <f>IF(NeoBer1700!H20&gt;0,IF(NeoBer1700!X20*10&gt;1,NeoBer1700!W20&amp;" uren",NeoBer1700!W20&amp;" minuten"),"")</f>
        <v/>
      </c>
    </row>
    <row r="33" spans="1:14" ht="15.95" customHeight="1" x14ac:dyDescent="0.4">
      <c r="A33" s="784">
        <v>2</v>
      </c>
      <c r="B33" s="792"/>
      <c r="C33" s="793" t="str">
        <f>IF(NeoBer1700!C21&gt;0,NeoBer1700!C21/10&amp;" mg","")</f>
        <v/>
      </c>
      <c r="D33" s="793" t="str">
        <f>IF(NeoBer1700!D21&gt;0,"in "&amp;NeoBer1700!D21&amp;" ml","")</f>
        <v/>
      </c>
      <c r="E33" s="792"/>
      <c r="F33" s="792"/>
      <c r="G33" s="794" t="str">
        <f>IF(NeoBer1700!F21/10&gt;0,NeoBer1700!F21/10&amp;" ml/uur","")</f>
        <v/>
      </c>
      <c r="H33" s="788" t="str">
        <f>IF(AND(NeoBer1700!H21&gt;0),ROUND(NeoBer1700!H21,2),"")</f>
        <v/>
      </c>
      <c r="I33" s="788" t="str">
        <f>IF(_Neo_1700_Medicament_2&gt;1,INDEX(tbl_Neo_MedIV,NeoBer1700!B21,6),"")</f>
        <v/>
      </c>
      <c r="J33" s="795"/>
      <c r="K33" s="796">
        <f>INDEX(tbl_Neo_MedIV,NeoBer1700!B21,2)</f>
        <v>0</v>
      </c>
      <c r="L33" s="796"/>
      <c r="M33" s="797"/>
      <c r="N33" s="798" t="str">
        <f>IF(NeoBer1700!H21&gt;0,IF(NeoBer1700!X21*10&gt;1,NeoBer1700!W21&amp;" uren",NeoBer1700!W21&amp;" minuten"),"")</f>
        <v/>
      </c>
    </row>
    <row r="34" spans="1:14" ht="15.95" customHeight="1" x14ac:dyDescent="0.4">
      <c r="A34" s="784">
        <v>3</v>
      </c>
      <c r="B34" s="792"/>
      <c r="C34" s="793" t="str">
        <f>IF(NeoBer1700!C22&gt;0,NeoBer1700!C22/10&amp;" mg","")</f>
        <v/>
      </c>
      <c r="D34" s="793" t="str">
        <f>IF(NeoBer1700!D22&gt;0,"in "&amp;NeoBer1700!D22&amp;" ml","")</f>
        <v/>
      </c>
      <c r="E34" s="792"/>
      <c r="F34" s="792"/>
      <c r="G34" s="794" t="str">
        <f>IF(NeoBer1700!F22/10&gt;0,NeoBer1700!F22/10&amp;" ml/uur","")</f>
        <v/>
      </c>
      <c r="H34" s="788" t="str">
        <f>IF(AND(NeoBer1700!H22&gt;0),ROUND(NeoBer1700!H22,2),"")</f>
        <v/>
      </c>
      <c r="I34" s="788" t="str">
        <f>IF(_Neo_1700_Medicament_3&gt;1,INDEX(tbl_Neo_MedIV,NeoBer1700!B22,6),"")</f>
        <v/>
      </c>
      <c r="J34" s="795"/>
      <c r="K34" s="796">
        <f>INDEX(tbl_Neo_MedIV,NeoBer1700!B22,2)</f>
        <v>0</v>
      </c>
      <c r="L34" s="796"/>
      <c r="M34" s="797"/>
      <c r="N34" s="798" t="str">
        <f>IF(NeoBer1700!H22&gt;0,IF(NeoBer1700!X22*10&gt;1,NeoBer1700!W22&amp;" uren",NeoBer1700!W22&amp;" minuten"),"")</f>
        <v/>
      </c>
    </row>
    <row r="35" spans="1:14" ht="15.95" customHeight="1" x14ac:dyDescent="0.4">
      <c r="A35" s="784">
        <v>4</v>
      </c>
      <c r="B35" s="792"/>
      <c r="C35" s="793" t="str">
        <f>IF(NeoBer1700!C23&gt;0,NeoBer1700!C23/10&amp;" mg","")</f>
        <v/>
      </c>
      <c r="D35" s="793" t="str">
        <f>IF(NeoBer1700!D23&gt;0,"in "&amp;NeoBer1700!D23&amp;" ml","")</f>
        <v/>
      </c>
      <c r="E35" s="792"/>
      <c r="F35" s="792"/>
      <c r="G35" s="794" t="str">
        <f>IF(NeoBer1700!F23/10&gt;0,NeoBer1700!F23/10&amp;" ml/uur","")</f>
        <v/>
      </c>
      <c r="H35" s="788" t="str">
        <f>IF(AND(NeoBer1700!H23&gt;0),ROUND(NeoBer1700!H23,2),"")</f>
        <v/>
      </c>
      <c r="I35" s="788" t="str">
        <f>IF(_Neo_1700_Medicament_4&gt;1,INDEX(tbl_Neo_MedIV,NeoBer1700!B23,6),"")</f>
        <v/>
      </c>
      <c r="J35" s="795"/>
      <c r="K35" s="796">
        <f>INDEX(tbl_Neo_MedIV,NeoBer1700!B23,2)</f>
        <v>0</v>
      </c>
      <c r="L35" s="796"/>
      <c r="M35" s="797"/>
      <c r="N35" s="798" t="str">
        <f>IF(NeoBer1700!H23&gt;0,IF(NeoBer1700!X23*10&gt;1,NeoBer1700!W23&amp;" uren",NeoBer1700!W23&amp;" minuten"),"")</f>
        <v/>
      </c>
    </row>
    <row r="36" spans="1:14" ht="15.95" customHeight="1" x14ac:dyDescent="0.4">
      <c r="A36" s="784">
        <v>5</v>
      </c>
      <c r="B36" s="792"/>
      <c r="C36" s="793" t="str">
        <f>IF(NeoBer1700!C24&gt;0,NeoBer1700!C24/10&amp;" mg","")</f>
        <v/>
      </c>
      <c r="D36" s="793" t="str">
        <f>IF(NeoBer1700!D24&gt;0,"in "&amp;NeoBer1700!D24&amp;" ml","")</f>
        <v/>
      </c>
      <c r="E36" s="792"/>
      <c r="F36" s="792"/>
      <c r="G36" s="794" t="str">
        <f>IF(NeoBer1700!F24/10&gt;0,NeoBer1700!F24/10&amp;" ml/uur","")</f>
        <v/>
      </c>
      <c r="H36" s="788" t="str">
        <f>IF(AND(NeoBer1700!H24&gt;0),ROUND(NeoBer1700!H24,2),"")</f>
        <v/>
      </c>
      <c r="I36" s="788" t="str">
        <f>IF(_Neo_1700_Medicament_5&gt;1,INDEX(tbl_Neo_MedIV,NeoBer1700!B24,6),"")</f>
        <v/>
      </c>
      <c r="J36" s="795"/>
      <c r="K36" s="796">
        <f>INDEX(tbl_Neo_MedIV,NeoBer1700!B24,2)</f>
        <v>0</v>
      </c>
      <c r="L36" s="796"/>
      <c r="M36" s="797"/>
      <c r="N36" s="798" t="str">
        <f>IF(NeoBer1700!H24&gt;0,IF(NeoBer1700!X24*10&gt;1,NeoBer1700!W24&amp;" uren",NeoBer1700!W24&amp;" minuten"),"")</f>
        <v/>
      </c>
    </row>
    <row r="37" spans="1:14" ht="15.95" customHeight="1" x14ac:dyDescent="0.4">
      <c r="A37" s="784">
        <v>6</v>
      </c>
      <c r="B37" s="792"/>
      <c r="C37" s="793" t="str">
        <f>IF(NeoBer1700!C25&gt;0,NeoBer1700!C25/10&amp;" mg","")</f>
        <v/>
      </c>
      <c r="D37" s="793" t="str">
        <f>IF(NeoBer1700!D25&gt;0,"in "&amp;NeoBer1700!D25&amp;" ml","")</f>
        <v/>
      </c>
      <c r="E37" s="792"/>
      <c r="F37" s="792"/>
      <c r="G37" s="794" t="str">
        <f>IF(NeoBer1700!F25/10&gt;0,NeoBer1700!F25/10&amp;" ml/uur","")</f>
        <v/>
      </c>
      <c r="H37" s="788" t="str">
        <f>IF(AND(NeoBer1700!H25&gt;0),ROUND(NeoBer1700!H25,2),"")</f>
        <v/>
      </c>
      <c r="I37" s="788" t="str">
        <f>IF(_Neo_1700_Medicament_6&gt;1,INDEX(tbl_Neo_MedIV,NeoBer1700!B25,6),"")</f>
        <v/>
      </c>
      <c r="J37" s="795"/>
      <c r="K37" s="796">
        <f>INDEX(tbl_Neo_MedIV,NeoBer1700!B25,2)</f>
        <v>0</v>
      </c>
      <c r="L37" s="796"/>
      <c r="M37" s="797"/>
      <c r="N37" s="798" t="str">
        <f>IF(NeoBer1700!H25&gt;0,IF(NeoBer1700!X25*10&gt;1,NeoBer1700!W25&amp;" uren",NeoBer1700!W25&amp;" minuten"),"")</f>
        <v/>
      </c>
    </row>
    <row r="38" spans="1:14" ht="15.95" customHeight="1" x14ac:dyDescent="0.4">
      <c r="A38" s="784">
        <v>7</v>
      </c>
      <c r="B38" s="792"/>
      <c r="C38" s="793" t="str">
        <f>IF(NeoBer1700!C26&gt;0,NeoBer1700!C26/10&amp;" mg","")</f>
        <v/>
      </c>
      <c r="D38" s="793" t="str">
        <f>IF(NeoBer1700!D26&gt;0,"in "&amp;NeoBer1700!D26&amp;" ml","")</f>
        <v/>
      </c>
      <c r="E38" s="792"/>
      <c r="F38" s="792"/>
      <c r="G38" s="794" t="str">
        <f>IF(NeoBer1700!F26/10&gt;0,NeoBer1700!F26/10&amp;" ml/uur","")</f>
        <v/>
      </c>
      <c r="H38" s="788" t="str">
        <f>IF(AND(NeoBer1700!H26&gt;0),ROUND(NeoBer1700!H26,2),"")</f>
        <v/>
      </c>
      <c r="I38" s="788" t="str">
        <f>IF(_Neo_1700_Medicament_7&gt;1,INDEX(tbl_Neo_MedIV,NeoBer1700!B26,6),"")</f>
        <v/>
      </c>
      <c r="J38" s="795"/>
      <c r="K38" s="796">
        <f>INDEX(tbl_Neo_MedIV,NeoBer1700!B26,2)</f>
        <v>0</v>
      </c>
      <c r="L38" s="796"/>
      <c r="M38" s="797"/>
      <c r="N38" s="798" t="str">
        <f>IF(NeoBer1700!H26&gt;0,IF(NeoBer1700!X26*10&gt;1,NeoBer1700!W26&amp;" uren",NeoBer1700!W26&amp;" minuten"),"")</f>
        <v/>
      </c>
    </row>
    <row r="39" spans="1:14" ht="15.95" customHeight="1" x14ac:dyDescent="0.4">
      <c r="A39" s="784">
        <v>8</v>
      </c>
      <c r="B39" s="792"/>
      <c r="C39" s="793" t="str">
        <f>IF(NeoBer1700!C27&gt;0,NeoBer1700!C27/10&amp;" mg","")</f>
        <v/>
      </c>
      <c r="D39" s="793" t="str">
        <f>IF(NeoBer1700!D27&gt;0,"in "&amp;NeoBer1700!D27&amp;" ml","")</f>
        <v/>
      </c>
      <c r="E39" s="792"/>
      <c r="F39" s="792"/>
      <c r="G39" s="794" t="str">
        <f>IF(NeoBer1700!F27/10&gt;0,NeoBer1700!F27/10&amp;" ml/uur","")</f>
        <v/>
      </c>
      <c r="H39" s="788" t="str">
        <f>IF(AND(NeoBer1700!H27&gt;0),ROUND(NeoBer1700!H27,2),"")</f>
        <v/>
      </c>
      <c r="I39" s="788" t="str">
        <f>IF(_Neo_1700_Medicament_8&gt;1,INDEX(tbl_Neo_MedIV,NeoBer1700!B27,6),"")</f>
        <v/>
      </c>
      <c r="J39" s="795"/>
      <c r="K39" s="796">
        <f>INDEX(tbl_Neo_MedIV,NeoBer1700!B27,2)</f>
        <v>0</v>
      </c>
      <c r="L39" s="796"/>
      <c r="M39" s="797"/>
      <c r="N39" s="798" t="str">
        <f>IF(NeoBer1700!H27&gt;0,IF(NeoBer1700!X27*10&gt;1,NeoBer1700!W27&amp;" uren",NeoBer1700!W27&amp;" minuten"),"")</f>
        <v/>
      </c>
    </row>
    <row r="40" spans="1:14" ht="15.95" customHeight="1" x14ac:dyDescent="0.4">
      <c r="A40" s="784">
        <v>9</v>
      </c>
      <c r="B40" s="792"/>
      <c r="C40" s="793" t="str">
        <f>IF(NeoBer1700!C28&gt;0,NeoBer1700!C28/10&amp;" mg","")</f>
        <v/>
      </c>
      <c r="D40" s="793" t="str">
        <f>IF(NeoBer1700!D28&gt;0,"in "&amp;NeoBer1700!D28&amp;" ml","")</f>
        <v/>
      </c>
      <c r="E40" s="792"/>
      <c r="F40" s="787"/>
      <c r="G40" s="789" t="str">
        <f>IF(NeoBer1700!F28/10&gt;0,NeoBer1700!F28/10&amp;" ml/uur","")</f>
        <v/>
      </c>
      <c r="H40" s="788" t="str">
        <f>IF(AND(NeoBer1700!H28&gt;0),ROUND(NeoBer1700!H28,2),"")</f>
        <v/>
      </c>
      <c r="I40" s="788" t="str">
        <f>IF(_Neo_1700_Medicament_9&gt;1,INDEX(tbl_Neo_MedIV,NeoBer1700!B28,6),"")</f>
        <v/>
      </c>
      <c r="J40" s="776"/>
      <c r="K40" s="796">
        <f>INDEX(tbl_Neo_MedIV,NeoBer1700!B28,2)</f>
        <v>0</v>
      </c>
      <c r="L40" s="796"/>
      <c r="M40" s="797"/>
      <c r="N40" s="798" t="str">
        <f>IF(NeoBer1700!H28&gt;0,IF(NeoBer1700!X28*10&gt;1,NeoBer1700!W28&amp;" uren",NeoBer1700!W28&amp;" minuten"),"")</f>
        <v/>
      </c>
    </row>
    <row r="41" spans="1:14" ht="9.75" customHeight="1" x14ac:dyDescent="0.4">
      <c r="A41" s="784"/>
      <c r="B41" s="799"/>
      <c r="C41" s="800"/>
      <c r="D41" s="800"/>
      <c r="E41" s="799"/>
      <c r="F41" s="766"/>
      <c r="G41" s="785"/>
      <c r="H41" s="800"/>
      <c r="I41" s="766"/>
      <c r="J41" s="766"/>
      <c r="K41" s="801"/>
      <c r="L41" s="801"/>
      <c r="M41" s="802"/>
      <c r="N41" s="803"/>
    </row>
    <row r="42" spans="1:14" ht="15.95" customHeight="1" x14ac:dyDescent="0.4">
      <c r="A42" s="784">
        <v>10</v>
      </c>
      <c r="B42" s="804" t="s">
        <v>615</v>
      </c>
      <c r="C42" s="788"/>
      <c r="D42" s="788"/>
      <c r="E42" s="788"/>
      <c r="F42" s="788"/>
      <c r="G42" s="789" t="str">
        <f>IF(NeoBer1700!F29/10&gt;0,NeoBer1700!F29/10&amp;" ml/uur","")</f>
        <v/>
      </c>
      <c r="H42" s="805" t="str">
        <f>IF(NeoBer1700!H32&gt;0,"= "&amp;ROUND(NeoBer1700!H32,2),"")</f>
        <v/>
      </c>
      <c r="I42" s="805"/>
      <c r="J42" s="766"/>
      <c r="K42" s="777"/>
      <c r="L42" s="777"/>
      <c r="M42" s="806"/>
      <c r="N42" s="785"/>
    </row>
    <row r="43" spans="1:14" ht="15.95" customHeight="1" x14ac:dyDescent="0.4">
      <c r="A43" s="784">
        <v>11</v>
      </c>
      <c r="B43" s="804" t="s">
        <v>616</v>
      </c>
      <c r="C43" s="788"/>
      <c r="D43" s="788"/>
      <c r="E43" s="788"/>
      <c r="F43" s="788"/>
      <c r="G43" s="789" t="str">
        <f>IF(NeoBer1700!F30/10&gt;0,NeoBer1700!F30/10&amp;" ml/uur","")</f>
        <v/>
      </c>
      <c r="H43" s="805" t="str">
        <f>IF(NeoBer1700!H33&gt;0,"= "&amp;ROUND(NeoBer1700!H33,2),"")</f>
        <v/>
      </c>
      <c r="I43" s="805"/>
      <c r="J43" s="766"/>
      <c r="K43" s="777"/>
      <c r="L43" s="777"/>
      <c r="M43" s="806"/>
      <c r="N43" s="785"/>
    </row>
    <row r="44" spans="1:14" ht="15.95" customHeight="1" x14ac:dyDescent="0.4">
      <c r="A44" s="784">
        <v>12</v>
      </c>
      <c r="B44" s="804" t="s">
        <v>617</v>
      </c>
      <c r="C44" s="788"/>
      <c r="D44" s="788"/>
      <c r="E44" s="788"/>
      <c r="F44" s="788"/>
      <c r="G44" s="789" t="str">
        <f>IF(NeoBer1700!F31/10&gt;0,NeoBer1700!F31/10&amp;" ml/uur","")</f>
        <v/>
      </c>
      <c r="H44" s="805" t="str">
        <f>IF(NeoBer1700!H34&gt;0,"= "&amp;ROUND(NeoBer1700!H34,2),"")</f>
        <v/>
      </c>
      <c r="I44" s="805"/>
      <c r="J44" s="766"/>
      <c r="K44" s="777"/>
      <c r="L44" s="777"/>
      <c r="M44" s="806"/>
      <c r="N44" s="785"/>
    </row>
    <row r="45" spans="1:14" ht="15.95" customHeight="1" x14ac:dyDescent="0.4">
      <c r="A45" s="784">
        <v>13</v>
      </c>
      <c r="B45" s="794" t="str">
        <f>IF(_Neo_1700_MedTekst_1="","",_Neo_1700_MedTekst_1)</f>
        <v/>
      </c>
      <c r="C45" s="793"/>
      <c r="D45" s="793"/>
      <c r="E45" s="793"/>
      <c r="F45" s="793"/>
      <c r="G45" s="793"/>
      <c r="H45" s="788"/>
      <c r="I45" s="788"/>
      <c r="J45" s="766"/>
      <c r="K45" s="777"/>
      <c r="L45" s="777"/>
      <c r="M45" s="806"/>
      <c r="N45" s="785"/>
    </row>
    <row r="46" spans="1:14" ht="15.95" customHeight="1" x14ac:dyDescent="0.4">
      <c r="A46" s="784">
        <v>14</v>
      </c>
      <c r="B46" s="785" t="str">
        <f>IF(_Neo_1700_MedTekst_2="","",_Neo_1700_MedTekst_2)</f>
        <v/>
      </c>
      <c r="C46" s="805"/>
      <c r="D46" s="805"/>
      <c r="E46" s="805"/>
      <c r="F46" s="805"/>
      <c r="G46" s="805"/>
      <c r="H46" s="805"/>
      <c r="I46" s="805"/>
      <c r="J46" s="766"/>
      <c r="K46" s="777"/>
      <c r="L46" s="777"/>
      <c r="M46" s="806"/>
      <c r="N46" s="785"/>
    </row>
    <row r="47" spans="1:14" ht="15.95" customHeight="1" x14ac:dyDescent="0.35">
      <c r="D47" s="767"/>
      <c r="K47" s="807" t="s">
        <v>602</v>
      </c>
      <c r="L47" s="807"/>
    </row>
    <row r="48" spans="1:14" ht="15.95" customHeight="1" x14ac:dyDescent="0.4">
      <c r="B48" s="770"/>
      <c r="C48" s="771"/>
      <c r="D48" s="808"/>
      <c r="E48" s="809" t="str">
        <f ca="1">IF(NeoBer1700!C35&gt;0,NeoBer1700!C35&amp;" ml","")</f>
        <v/>
      </c>
      <c r="F48" s="767" t="str">
        <f ca="1">IF(E48&lt;&gt;"",ROUND(NeoBer1700!C35/(_Pat_Gewicht/10),0)&amp;" ml/ kg","")</f>
        <v/>
      </c>
      <c r="K48" s="775" t="str">
        <f ca="1">IF(NeoBer1700!B35&gt;0,NeoBer1700!B35&amp;" ml","")</f>
        <v/>
      </c>
      <c r="L48" s="775"/>
      <c r="M48" s="776"/>
    </row>
    <row r="49" spans="2:13" ht="12" customHeight="1" x14ac:dyDescent="0.4">
      <c r="B49" s="764"/>
      <c r="C49" s="766"/>
      <c r="D49" s="805"/>
      <c r="E49" s="785"/>
    </row>
    <row r="50" spans="2:13" ht="15.75" customHeight="1" x14ac:dyDescent="0.35">
      <c r="B50" s="810"/>
    </row>
    <row r="51" spans="2:13" ht="15.95" customHeight="1" x14ac:dyDescent="0.4">
      <c r="B51" s="758" t="s">
        <v>619</v>
      </c>
    </row>
    <row r="52" spans="2:13" ht="15.75" customHeight="1" x14ac:dyDescent="0.4">
      <c r="B52" s="811" t="s">
        <v>359</v>
      </c>
      <c r="C52" s="776"/>
      <c r="D52" s="776"/>
      <c r="E52" s="791" t="str">
        <f ca="1">IF(NeoBer1700!$D$36=1,NeoBer1700!C37&amp;" ml","")</f>
        <v>0 ml</v>
      </c>
      <c r="F52" s="776"/>
      <c r="G52" s="776"/>
      <c r="H52" s="776"/>
      <c r="I52" s="791" t="str">
        <f>IF(NeoBer1700!$D$36=3,NeoBer1700!C37&amp;" ml","")</f>
        <v/>
      </c>
      <c r="J52" s="776"/>
      <c r="K52" s="775" t="str">
        <f ca="1">IF(NeoBer1700!B37&gt;0,NeoBer1700!B37&amp;" ml","")</f>
        <v/>
      </c>
      <c r="L52" s="775"/>
      <c r="M52" s="776"/>
    </row>
    <row r="53" spans="2:13" ht="15.95" customHeight="1" x14ac:dyDescent="0.4">
      <c r="B53" s="812" t="s">
        <v>620</v>
      </c>
      <c r="C53" s="795"/>
      <c r="D53" s="795"/>
      <c r="E53" s="798" t="str">
        <f ca="1">IF(NeoBer1700!$D$36=1,NeoBer1700!C38&amp;" ml","")</f>
        <v>0 ml</v>
      </c>
      <c r="F53" s="795"/>
      <c r="G53" s="795"/>
      <c r="H53" s="795"/>
      <c r="I53" s="798" t="str">
        <f>IF(NeoBer1700!$D$36=3,NeoBer1700!C38&amp;" ml","")</f>
        <v/>
      </c>
      <c r="J53" s="795"/>
      <c r="K53" s="796" t="str">
        <f ca="1">IF(NeoBer1700!B38&gt;0,NeoBer1700!B38&amp;" ml","")</f>
        <v/>
      </c>
      <c r="L53" s="796"/>
      <c r="M53" s="796"/>
    </row>
    <row r="54" spans="2:13" ht="15.95" customHeight="1" x14ac:dyDescent="0.4">
      <c r="B54" s="812" t="s">
        <v>621</v>
      </c>
      <c r="C54" s="795"/>
      <c r="D54" s="795"/>
      <c r="E54" s="798" t="str">
        <f ca="1">IF(NeoBer1700!$D$36=1,NeoBer1700!C39&amp;" ml","")</f>
        <v>0 ml</v>
      </c>
      <c r="F54" s="795"/>
      <c r="G54" s="795"/>
      <c r="H54" s="795"/>
      <c r="I54" s="795"/>
      <c r="J54" s="795"/>
      <c r="K54" s="796" t="str">
        <f ca="1">IF(NeoBer1700!B39&gt;0,NeoBer1700!B39&amp;" ml","")</f>
        <v>30 ml</v>
      </c>
      <c r="L54" s="796"/>
      <c r="M54" s="796"/>
    </row>
    <row r="55" spans="2:13" ht="15.95" customHeight="1" x14ac:dyDescent="0.4">
      <c r="B55" s="812" t="s">
        <v>622</v>
      </c>
      <c r="C55" s="795"/>
      <c r="D55" s="795"/>
      <c r="E55" s="798" t="str">
        <f ca="1">IF(NeoBer1700!$D$36=1,NeoBer1700!C40&amp;" ml","")</f>
        <v>0 ml</v>
      </c>
      <c r="F55" s="795"/>
      <c r="G55" s="795"/>
      <c r="H55" s="795"/>
      <c r="I55" s="795"/>
      <c r="J55" s="795"/>
      <c r="K55" s="796" t="str">
        <f ca="1">IF(NeoBer1700!B40&gt;0,NeoBer1700!B40&amp;" ml","")</f>
        <v>3 ml</v>
      </c>
      <c r="L55" s="796"/>
      <c r="M55" s="796"/>
    </row>
    <row r="56" spans="2:13" ht="15.95" customHeight="1" x14ac:dyDescent="0.4">
      <c r="B56" s="812" t="s">
        <v>217</v>
      </c>
      <c r="C56" s="795"/>
      <c r="D56" s="795"/>
      <c r="E56" s="798" t="str">
        <f ca="1">IF(NeoBer1700!$D$36=1,NeoBer1700!C41&amp;" ml","")</f>
        <v>0 ml</v>
      </c>
      <c r="F56" s="795"/>
      <c r="G56" s="795"/>
      <c r="H56" s="795"/>
      <c r="I56" s="795"/>
      <c r="J56" s="795"/>
      <c r="K56" s="796" t="str">
        <f ca="1">IF(NeoBer1700!B41&gt;0,NeoBer1700!B41&amp;" ml","")</f>
        <v/>
      </c>
      <c r="L56" s="796"/>
      <c r="M56" s="796"/>
    </row>
    <row r="57" spans="2:13" ht="15.95" customHeight="1" x14ac:dyDescent="0.4">
      <c r="B57" s="812" t="s">
        <v>577</v>
      </c>
      <c r="C57" s="795"/>
      <c r="D57" s="795"/>
      <c r="E57" s="798" t="str">
        <f ca="1">IF(NeoBer1700!$D$36=1,NeoBer1700!C42&amp;" ml","")</f>
        <v>0 ml</v>
      </c>
      <c r="F57" s="795"/>
      <c r="G57" s="795"/>
      <c r="H57" s="795"/>
      <c r="I57" s="795"/>
      <c r="J57" s="795"/>
      <c r="K57" s="796" t="str">
        <f ca="1">IF(NeoBer1700!B42&gt;0,NeoBer1700!B42&amp;" ml","")</f>
        <v/>
      </c>
      <c r="L57" s="796"/>
      <c r="M57" s="796"/>
    </row>
    <row r="58" spans="2:13" ht="15.95" customHeight="1" x14ac:dyDescent="0.4">
      <c r="B58" s="812" t="s">
        <v>578</v>
      </c>
      <c r="C58" s="795"/>
      <c r="D58" s="795"/>
      <c r="E58" s="795"/>
      <c r="F58" s="795"/>
      <c r="G58" s="798" t="str">
        <f>IF(NeoBer1700!D36=2,NeoBer1700!C43&amp;" ml","")</f>
        <v/>
      </c>
      <c r="H58" s="813" t="str">
        <f>IF(G58&lt;&gt;"","("&amp;ROUND(NeoBer1700!C43/(_Pat_Gewicht/10),0)&amp;" ml/kg)","")</f>
        <v/>
      </c>
      <c r="I58" s="795"/>
      <c r="J58" s="795"/>
      <c r="K58" s="796" t="str">
        <f ca="1">IF(NeoBer1700!B43&gt;0,NeoBer1700!B43&amp;" ml","")</f>
        <v/>
      </c>
      <c r="L58" s="796"/>
      <c r="M58" s="796"/>
    </row>
    <row r="59" spans="2:13" ht="15.95" customHeight="1" x14ac:dyDescent="0.4">
      <c r="B59" s="812" t="s">
        <v>357</v>
      </c>
      <c r="C59" s="795"/>
      <c r="D59" s="795"/>
      <c r="E59" s="795"/>
      <c r="F59" s="795"/>
      <c r="G59" s="795"/>
      <c r="H59" s="795"/>
      <c r="I59" s="798" t="str">
        <f>IF(NeoBer1700!$D$36=3,NeoBer1700!C44&amp;" ml","")</f>
        <v/>
      </c>
      <c r="J59" s="813" t="str">
        <f>IF(I59&lt;&gt;"","("&amp;ROUND(1000*NeoBer1700!C44/(_Pat_Gewicht/10),0)&amp;" ml/kg)","")</f>
        <v/>
      </c>
      <c r="K59" s="796" t="str">
        <f ca="1">IF(NeoBer1700!B44&gt;0,NeoBer1700!B44&amp;" ml","")</f>
        <v/>
      </c>
      <c r="L59" s="796"/>
      <c r="M59" s="796"/>
    </row>
    <row r="60" spans="2:13" ht="20.100000000000001" customHeight="1" x14ac:dyDescent="0.4">
      <c r="B60" s="795"/>
      <c r="C60" s="795"/>
      <c r="D60" s="795"/>
      <c r="E60" s="814">
        <f>IF(NeoBer1700!D36=1,NeoBer1700!K45,"")</f>
        <v>0</v>
      </c>
      <c r="F60" s="795" t="str">
        <f>IF(E60&lt;&gt;"","ml","")</f>
        <v>ml</v>
      </c>
      <c r="G60" s="814" t="str">
        <f>IF(NeoBer1700!D36=2,NeoBer1700!K45,"")</f>
        <v/>
      </c>
      <c r="H60" s="795" t="str">
        <f>IF(G60&lt;&gt;"","ml","")</f>
        <v/>
      </c>
      <c r="I60" s="814" t="str">
        <f>IF(NeoBer1700!D36=3,NeoBer1700!K45,"")</f>
        <v/>
      </c>
      <c r="J60" s="795" t="str">
        <f>IF(I60&lt;&gt;"","ml","")</f>
        <v/>
      </c>
      <c r="K60" s="796"/>
      <c r="L60" s="796"/>
      <c r="M60" s="796"/>
    </row>
  </sheetData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Drop Down 107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Drop Down 108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Drop Down 109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Drop Down 110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IF(NeoBer1700!B20&gt;1,IF(AND(H32&lt;&gt;"""",H32&gt;=INDEX(tbl_Neo_MedIV,NeoBer1700!B20,9)),TRUE,FALSE),FALSE)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IF(AND(C32&lt;&gt;0,G32&lt;&gt;""),IF(AND(H32&gt;=INDEX(tbl_Neo_MedIV,NeoBer1700!$B20,7),H32&lt;=INDEX(tbl_Neo_MedIV,NeoBer1700!$B20,8)),TRUE,FALSE),TRUE)=FALSE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1700">
    <tabColor rgb="FF92D050"/>
  </sheetPr>
  <dimension ref="A1:X116"/>
  <sheetViews>
    <sheetView workbookViewId="0">
      <pane xSplit="1" ySplit="1" topLeftCell="B2" activePane="bottomRight" state="frozen"/>
      <selection activeCell="J26" sqref="J26"/>
      <selection pane="topRight" activeCell="J26" sqref="J26"/>
      <selection pane="bottomLeft" activeCell="J26" sqref="J26"/>
      <selection pane="bottomRight" activeCell="B73" sqref="B73"/>
    </sheetView>
  </sheetViews>
  <sheetFormatPr defaultColWidth="9.1328125" defaultRowHeight="12.85" x14ac:dyDescent="0.35"/>
  <cols>
    <col min="1" max="1" width="40.1328125" style="660" customWidth="1"/>
    <col min="2" max="3" width="13.86328125" style="660" customWidth="1"/>
    <col min="4" max="4" width="11.73046875" style="660" customWidth="1"/>
    <col min="5" max="5" width="10.73046875" style="660" customWidth="1"/>
    <col min="6" max="6" width="10" style="660" customWidth="1"/>
    <col min="7" max="7" width="10.73046875" style="660" bestFit="1" customWidth="1"/>
    <col min="8" max="8" width="12.3984375" style="660" bestFit="1" customWidth="1"/>
    <col min="9" max="11" width="9.1328125" style="660"/>
    <col min="12" max="12" width="13.265625" style="660" bestFit="1" customWidth="1"/>
    <col min="13" max="16384" width="9.1328125" style="660"/>
  </cols>
  <sheetData>
    <row r="1" spans="1:24" x14ac:dyDescent="0.35">
      <c r="A1" s="576" t="s">
        <v>28</v>
      </c>
      <c r="E1" s="660" t="s">
        <v>200</v>
      </c>
      <c r="J1" s="660" t="s">
        <v>560</v>
      </c>
      <c r="K1" s="660" t="s">
        <v>335</v>
      </c>
      <c r="L1" s="660" t="s">
        <v>248</v>
      </c>
      <c r="M1" s="660" t="s">
        <v>249</v>
      </c>
      <c r="N1" s="660" t="s">
        <v>250</v>
      </c>
      <c r="O1" s="660" t="s">
        <v>251</v>
      </c>
      <c r="P1" s="660" t="s">
        <v>583</v>
      </c>
      <c r="Q1" s="660" t="s">
        <v>246</v>
      </c>
      <c r="R1" s="660" t="s">
        <v>584</v>
      </c>
      <c r="S1" s="660" t="s">
        <v>585</v>
      </c>
      <c r="T1" s="660" t="s">
        <v>586</v>
      </c>
      <c r="U1" s="660" t="s">
        <v>637</v>
      </c>
      <c r="V1" s="660" t="s">
        <v>595</v>
      </c>
      <c r="W1" s="660" t="s">
        <v>614</v>
      </c>
      <c r="X1" s="660" t="s">
        <v>665</v>
      </c>
    </row>
    <row r="2" spans="1:24" x14ac:dyDescent="0.35">
      <c r="A2" s="660" t="s">
        <v>550</v>
      </c>
      <c r="B2" s="660" t="str">
        <f>__1_Bed</f>
        <v>Unit 1.2</v>
      </c>
    </row>
    <row r="3" spans="1:24" x14ac:dyDescent="0.35">
      <c r="A3" s="660" t="s">
        <v>599</v>
      </c>
      <c r="B3" s="497">
        <f>__4_GebDatum</f>
        <v>42736</v>
      </c>
      <c r="C3" s="492">
        <v>0</v>
      </c>
      <c r="E3" s="660" t="s">
        <v>666</v>
      </c>
    </row>
    <row r="4" spans="1:24" x14ac:dyDescent="0.35">
      <c r="A4" s="660" t="s">
        <v>570</v>
      </c>
      <c r="B4" s="515">
        <f>_Pat_Gewicht/10</f>
        <v>10</v>
      </c>
      <c r="C4" s="288" t="s">
        <v>667</v>
      </c>
      <c r="D4" s="496">
        <v>30</v>
      </c>
    </row>
    <row r="5" spans="1:24" x14ac:dyDescent="0.35">
      <c r="A5" s="660" t="s">
        <v>328</v>
      </c>
      <c r="B5" s="497">
        <f>_Pat_OpnDatum</f>
        <v>42736</v>
      </c>
      <c r="C5" s="288" t="s">
        <v>668</v>
      </c>
      <c r="D5" s="496">
        <v>0</v>
      </c>
    </row>
    <row r="6" spans="1:24" x14ac:dyDescent="0.35">
      <c r="A6" s="576" t="s">
        <v>669</v>
      </c>
      <c r="B6" s="492">
        <f ca="1">TODAY()-B3+1+C3</f>
        <v>1</v>
      </c>
      <c r="C6" s="660">
        <f ca="1">IF(B6&lt;7,B6,6)</f>
        <v>1</v>
      </c>
    </row>
    <row r="7" spans="1:24" x14ac:dyDescent="0.35">
      <c r="A7" s="660" t="s">
        <v>200</v>
      </c>
    </row>
    <row r="8" spans="1:24" x14ac:dyDescent="0.35">
      <c r="A8" s="660" t="s">
        <v>603</v>
      </c>
    </row>
    <row r="9" spans="1:24" x14ac:dyDescent="0.35">
      <c r="A9" s="660" t="s">
        <v>670</v>
      </c>
    </row>
    <row r="10" spans="1:24" x14ac:dyDescent="0.35">
      <c r="A10" s="660" t="s">
        <v>319</v>
      </c>
      <c r="D10" s="660">
        <v>0</v>
      </c>
    </row>
    <row r="11" spans="1:24" x14ac:dyDescent="0.35">
      <c r="A11" s="660" t="s">
        <v>606</v>
      </c>
      <c r="D11" s="660">
        <v>0</v>
      </c>
      <c r="L11" s="660">
        <v>2</v>
      </c>
      <c r="M11" s="660">
        <v>3</v>
      </c>
      <c r="N11" s="660">
        <v>4</v>
      </c>
      <c r="O11" s="660">
        <v>5</v>
      </c>
      <c r="P11" s="660">
        <v>6</v>
      </c>
      <c r="Q11" s="660">
        <v>7</v>
      </c>
      <c r="R11" s="660">
        <v>8</v>
      </c>
      <c r="S11" s="660">
        <v>9</v>
      </c>
      <c r="T11" s="660">
        <v>10</v>
      </c>
      <c r="U11" s="660">
        <v>11</v>
      </c>
      <c r="V11" s="660">
        <v>12</v>
      </c>
    </row>
    <row r="12" spans="1:24" x14ac:dyDescent="0.35">
      <c r="A12" s="660" t="s">
        <v>319</v>
      </c>
      <c r="D12" s="660">
        <v>0</v>
      </c>
    </row>
    <row r="13" spans="1:24" x14ac:dyDescent="0.35">
      <c r="A13" s="660" t="s">
        <v>606</v>
      </c>
      <c r="D13" s="660">
        <v>0</v>
      </c>
    </row>
    <row r="14" spans="1:24" x14ac:dyDescent="0.35">
      <c r="A14" s="660" t="s">
        <v>307</v>
      </c>
      <c r="D14" s="660">
        <v>1</v>
      </c>
      <c r="J14" s="660">
        <v>1</v>
      </c>
      <c r="K14" s="660">
        <f>IF(AND(_Neo_InfB_VochtExtra_01=2,_Neo_InfB_Voeding&gt;1),(D10*D11+D12*D13)/10,0)</f>
        <v>0</v>
      </c>
      <c r="L14" s="660">
        <f t="shared" ref="L14:V14" si="0">INDEX(tbl_Neo_Pos,$D$14,L11)*$K$14</f>
        <v>0</v>
      </c>
      <c r="M14" s="660">
        <f t="shared" si="0"/>
        <v>0</v>
      </c>
      <c r="N14" s="660">
        <f t="shared" si="0"/>
        <v>0</v>
      </c>
      <c r="O14" s="660">
        <f t="shared" si="0"/>
        <v>0</v>
      </c>
      <c r="P14" s="660">
        <f t="shared" si="0"/>
        <v>0</v>
      </c>
      <c r="Q14" s="660">
        <f t="shared" si="0"/>
        <v>0</v>
      </c>
      <c r="R14" s="660">
        <f t="shared" si="0"/>
        <v>0</v>
      </c>
      <c r="S14" s="660">
        <f t="shared" si="0"/>
        <v>0</v>
      </c>
      <c r="T14" s="660">
        <f t="shared" si="0"/>
        <v>0</v>
      </c>
      <c r="U14" s="660">
        <f t="shared" si="0"/>
        <v>0</v>
      </c>
      <c r="V14" s="660">
        <f t="shared" si="0"/>
        <v>0</v>
      </c>
    </row>
    <row r="15" spans="1:24" x14ac:dyDescent="0.35">
      <c r="A15" s="660" t="s">
        <v>605</v>
      </c>
      <c r="B15" s="660">
        <v>2</v>
      </c>
    </row>
    <row r="16" spans="1:24" x14ac:dyDescent="0.35">
      <c r="A16" s="660" t="s">
        <v>671</v>
      </c>
      <c r="B16" s="660">
        <f ca="1">IF(AND(D4&lt;37,(_Pat_Gewicht/10)&gt;=1),INDEX(NeoBerAdvies!B4:G4,1,NeoBer1700!C6),IF((_Pat_Gewicht/10)&lt;1,INDEX(NeoBerAdvies!B5:G5,1,NeoBer1700!C6),INDEX(NeoBerAdvies!B6:G6,1,NeoBer1700!C6)))+IF(B15=1,20,0)</f>
        <v>50</v>
      </c>
      <c r="C16" s="660">
        <f ca="1">ROUND(B16/5,0)*5+(D16-5000)</f>
        <v>50</v>
      </c>
      <c r="D16" s="660">
        <v>5000</v>
      </c>
    </row>
    <row r="17" spans="1:24" x14ac:dyDescent="0.35">
      <c r="A17" s="660" t="s">
        <v>672</v>
      </c>
      <c r="B17" s="660" t="b">
        <v>0</v>
      </c>
      <c r="C17" s="660">
        <f ca="1">ROUND(C16*(_Pat_Gewicht/10)-K14,0)</f>
        <v>500</v>
      </c>
    </row>
    <row r="18" spans="1:24" x14ac:dyDescent="0.35">
      <c r="A18" s="660" t="s">
        <v>779</v>
      </c>
      <c r="B18" s="660">
        <v>0</v>
      </c>
      <c r="J18" s="660" t="b">
        <v>0</v>
      </c>
      <c r="K18" s="660">
        <f>IF(J18,0,B18*2.4)</f>
        <v>0</v>
      </c>
      <c r="L18" s="660">
        <f>0.155*K18/2</f>
        <v>0</v>
      </c>
    </row>
    <row r="19" spans="1:24" x14ac:dyDescent="0.35">
      <c r="B19" s="660" t="s">
        <v>634</v>
      </c>
      <c r="C19" s="660" t="s">
        <v>673</v>
      </c>
      <c r="D19" s="660" t="s">
        <v>674</v>
      </c>
      <c r="E19" s="660" t="s">
        <v>165</v>
      </c>
      <c r="F19" s="660" t="s">
        <v>52</v>
      </c>
      <c r="G19" s="660" t="s">
        <v>675</v>
      </c>
      <c r="H19" s="660" t="s">
        <v>676</v>
      </c>
      <c r="I19" s="660" t="s">
        <v>636</v>
      </c>
    </row>
    <row r="20" spans="1:24" x14ac:dyDescent="0.35">
      <c r="A20" s="660" t="s">
        <v>677</v>
      </c>
      <c r="B20" s="660">
        <v>1</v>
      </c>
      <c r="C20" s="660">
        <v>0</v>
      </c>
      <c r="D20" s="660">
        <v>0</v>
      </c>
      <c r="E20" s="660">
        <v>1</v>
      </c>
      <c r="F20" s="660">
        <v>0</v>
      </c>
      <c r="G20" s="660">
        <f>IF(INDEX(tbl_Neo_MedIV,NeoBer1700!B20,5)=0,1,INDEX(tbl_Neo_MedIV,NeoBer1700!B20,5))</f>
        <v>1</v>
      </c>
      <c r="H20" s="660">
        <f t="shared" ref="H20:H28" si="1">IF(D20&gt;0,(F20*IF(X20*10&gt;=24,2.4,2.4)*((C20/10)/D20))/($B$4)/I20,0)</f>
        <v>0</v>
      </c>
      <c r="I20" s="660">
        <f>IF(NeoBer1700!G20&gt;1,INDEX(tbl_Neo_FaktorLijst,NeoBer1700!G20),1)</f>
        <v>1</v>
      </c>
      <c r="J20" s="660">
        <v>0</v>
      </c>
      <c r="K20" s="660">
        <f t="shared" ref="K20:K31" si="2">IF(J20,0,F20*2.4)</f>
        <v>0</v>
      </c>
      <c r="L20" s="660">
        <f t="shared" ref="L20:L31" si="3">IF($E20&gt;1,INDEX(tbl_Neo_Opl,$E20,3),0)*$K20</f>
        <v>0</v>
      </c>
      <c r="M20" s="660">
        <f t="shared" ref="M20:M31" si="4">IF($E20&gt;1,INDEX(tbl_Neo_Opl,$E20,4),0)*$K20</f>
        <v>0</v>
      </c>
      <c r="N20" s="660">
        <f t="shared" ref="N20:N31" si="5">IF($E20&gt;1,INDEX(tbl_Neo_Opl,$E20,6),0)*$K20</f>
        <v>0</v>
      </c>
      <c r="O20" s="660">
        <f t="shared" ref="O20:O31" si="6">IF($E20&gt;1,INDEX(tbl_Neo_Opl,$E20,7),0)*$K20</f>
        <v>0</v>
      </c>
      <c r="P20" s="660">
        <f t="shared" ref="P20:P31" si="7">IF($E20&gt;1,INDEX(tbl_Neo_Opl,$E20,8),0)*$K20</f>
        <v>0</v>
      </c>
      <c r="Q20" s="660">
        <f t="shared" ref="Q20:Q31" si="8">IF($E20&gt;1,INDEX(tbl_Neo_Opl,$E20,5),0)*$K20</f>
        <v>0</v>
      </c>
      <c r="R20" s="660">
        <f t="shared" ref="R20:R31" si="9">IF($E20&gt;1,INDEX(tbl_Neo_Opl,$E20,2),0)*$K20</f>
        <v>0</v>
      </c>
      <c r="W20" s="660">
        <f>ROUND(IF(X20*10&gt;1,X20*10,X20*600),0)</f>
        <v>0</v>
      </c>
      <c r="X20" s="660">
        <f t="shared" ref="X20:X31" si="10">IF(F20&gt;0,D20/F20,0)</f>
        <v>0</v>
      </c>
    </row>
    <row r="21" spans="1:24" x14ac:dyDescent="0.35">
      <c r="A21" s="660" t="s">
        <v>678</v>
      </c>
      <c r="B21" s="660">
        <v>1</v>
      </c>
      <c r="C21" s="660">
        <v>0</v>
      </c>
      <c r="D21" s="660">
        <v>0</v>
      </c>
      <c r="E21" s="660">
        <v>1</v>
      </c>
      <c r="F21" s="660">
        <v>0</v>
      </c>
      <c r="G21" s="816">
        <f>IF(INDEX(tbl_Neo_MedIV,NeoBer1700!B21,5)=0,1,INDEX(tbl_Neo_MedIV,NeoBer1700!B21,5))</f>
        <v>1</v>
      </c>
      <c r="H21" s="816">
        <f t="shared" si="1"/>
        <v>0</v>
      </c>
      <c r="I21" s="816">
        <f>IF(NeoBer1700!G21&gt;1,INDEX(tbl_Neo_FaktorLijst,NeoBer1700!G21),1)</f>
        <v>1</v>
      </c>
      <c r="J21" s="660">
        <v>0</v>
      </c>
      <c r="K21" s="660">
        <f t="shared" si="2"/>
        <v>0</v>
      </c>
      <c r="L21" s="660">
        <f t="shared" si="3"/>
        <v>0</v>
      </c>
      <c r="M21" s="660">
        <f t="shared" si="4"/>
        <v>0</v>
      </c>
      <c r="N21" s="660">
        <f t="shared" si="5"/>
        <v>0</v>
      </c>
      <c r="O21" s="660">
        <f t="shared" si="6"/>
        <v>0</v>
      </c>
      <c r="P21" s="660">
        <f t="shared" si="7"/>
        <v>0</v>
      </c>
      <c r="Q21" s="660">
        <f t="shared" si="8"/>
        <v>0</v>
      </c>
      <c r="R21" s="660">
        <f t="shared" si="9"/>
        <v>0</v>
      </c>
      <c r="W21" s="660">
        <f t="shared" ref="W21:W28" si="11">ROUND(IF(X21*10&gt;1,X21*10,X21*600),0)</f>
        <v>0</v>
      </c>
      <c r="X21" s="660">
        <f t="shared" si="10"/>
        <v>0</v>
      </c>
    </row>
    <row r="22" spans="1:24" x14ac:dyDescent="0.35">
      <c r="A22" s="660" t="s">
        <v>679</v>
      </c>
      <c r="B22" s="660">
        <v>1</v>
      </c>
      <c r="C22" s="660">
        <v>0</v>
      </c>
      <c r="D22" s="660">
        <v>0</v>
      </c>
      <c r="E22" s="660">
        <v>1</v>
      </c>
      <c r="F22" s="660">
        <v>0</v>
      </c>
      <c r="G22" s="816">
        <f>IF(INDEX(tbl_Neo_MedIV,NeoBer1700!B22,5)=0,1,INDEX(tbl_Neo_MedIV,NeoBer1700!B22,5))</f>
        <v>1</v>
      </c>
      <c r="H22" s="816">
        <f t="shared" si="1"/>
        <v>0</v>
      </c>
      <c r="I22" s="816">
        <f>IF(NeoBer1700!G22&gt;1,INDEX(tbl_Neo_FaktorLijst,NeoBer1700!G22),1)</f>
        <v>1</v>
      </c>
      <c r="J22" s="660">
        <v>0</v>
      </c>
      <c r="K22" s="660">
        <f t="shared" si="2"/>
        <v>0</v>
      </c>
      <c r="L22" s="660">
        <f t="shared" si="3"/>
        <v>0</v>
      </c>
      <c r="M22" s="660">
        <f t="shared" si="4"/>
        <v>0</v>
      </c>
      <c r="N22" s="660">
        <f t="shared" si="5"/>
        <v>0</v>
      </c>
      <c r="O22" s="660">
        <f t="shared" si="6"/>
        <v>0</v>
      </c>
      <c r="P22" s="660">
        <f t="shared" si="7"/>
        <v>0</v>
      </c>
      <c r="Q22" s="660">
        <f t="shared" si="8"/>
        <v>0</v>
      </c>
      <c r="R22" s="660">
        <f t="shared" si="9"/>
        <v>0</v>
      </c>
      <c r="W22" s="660">
        <f t="shared" si="11"/>
        <v>0</v>
      </c>
      <c r="X22" s="660">
        <f t="shared" si="10"/>
        <v>0</v>
      </c>
    </row>
    <row r="23" spans="1:24" x14ac:dyDescent="0.35">
      <c r="A23" s="660" t="s">
        <v>680</v>
      </c>
      <c r="B23" s="660">
        <v>1</v>
      </c>
      <c r="C23" s="660">
        <v>0</v>
      </c>
      <c r="D23" s="660">
        <v>0</v>
      </c>
      <c r="E23" s="660">
        <v>1</v>
      </c>
      <c r="F23" s="660">
        <v>0</v>
      </c>
      <c r="G23" s="816">
        <f>IF(INDEX(tbl_Neo_MedIV,NeoBer1700!B23,5)=0,1,INDEX(tbl_Neo_MedIV,NeoBer1700!B23,5))</f>
        <v>1</v>
      </c>
      <c r="H23" s="816">
        <f t="shared" si="1"/>
        <v>0</v>
      </c>
      <c r="I23" s="816">
        <f>IF(NeoBer1700!G23&gt;1,INDEX(tbl_Neo_FaktorLijst,NeoBer1700!G23),1)</f>
        <v>1</v>
      </c>
      <c r="J23" s="660">
        <v>0</v>
      </c>
      <c r="K23" s="660">
        <f t="shared" si="2"/>
        <v>0</v>
      </c>
      <c r="L23" s="660">
        <f t="shared" si="3"/>
        <v>0</v>
      </c>
      <c r="M23" s="660">
        <f t="shared" si="4"/>
        <v>0</v>
      </c>
      <c r="N23" s="660">
        <f t="shared" si="5"/>
        <v>0</v>
      </c>
      <c r="O23" s="660">
        <f t="shared" si="6"/>
        <v>0</v>
      </c>
      <c r="P23" s="660">
        <f t="shared" si="7"/>
        <v>0</v>
      </c>
      <c r="Q23" s="660">
        <f t="shared" si="8"/>
        <v>0</v>
      </c>
      <c r="R23" s="660">
        <f t="shared" si="9"/>
        <v>0</v>
      </c>
      <c r="W23" s="660">
        <f t="shared" si="11"/>
        <v>0</v>
      </c>
      <c r="X23" s="660">
        <f t="shared" si="10"/>
        <v>0</v>
      </c>
    </row>
    <row r="24" spans="1:24" x14ac:dyDescent="0.35">
      <c r="A24" s="660" t="s">
        <v>681</v>
      </c>
      <c r="B24" s="660">
        <v>1</v>
      </c>
      <c r="C24" s="660">
        <v>0</v>
      </c>
      <c r="D24" s="660">
        <v>0</v>
      </c>
      <c r="E24" s="660">
        <v>1</v>
      </c>
      <c r="F24" s="660">
        <v>0</v>
      </c>
      <c r="G24" s="816">
        <f>IF(INDEX(tbl_Neo_MedIV,NeoBer1700!B24,5)=0,1,INDEX(tbl_Neo_MedIV,NeoBer1700!B24,5))</f>
        <v>1</v>
      </c>
      <c r="H24" s="816">
        <f t="shared" si="1"/>
        <v>0</v>
      </c>
      <c r="I24" s="816">
        <f>IF(NeoBer1700!G24&gt;1,INDEX(tbl_Neo_FaktorLijst,NeoBer1700!G24),1)</f>
        <v>1</v>
      </c>
      <c r="J24" s="660">
        <v>0</v>
      </c>
      <c r="K24" s="660">
        <f t="shared" si="2"/>
        <v>0</v>
      </c>
      <c r="L24" s="660">
        <f t="shared" si="3"/>
        <v>0</v>
      </c>
      <c r="M24" s="660">
        <f t="shared" si="4"/>
        <v>0</v>
      </c>
      <c r="N24" s="660">
        <f t="shared" si="5"/>
        <v>0</v>
      </c>
      <c r="O24" s="660">
        <f t="shared" si="6"/>
        <v>0</v>
      </c>
      <c r="P24" s="660">
        <f t="shared" si="7"/>
        <v>0</v>
      </c>
      <c r="Q24" s="660">
        <f t="shared" si="8"/>
        <v>0</v>
      </c>
      <c r="R24" s="660">
        <f t="shared" si="9"/>
        <v>0</v>
      </c>
      <c r="W24" s="660">
        <f t="shared" si="11"/>
        <v>0</v>
      </c>
      <c r="X24" s="660">
        <f t="shared" si="10"/>
        <v>0</v>
      </c>
    </row>
    <row r="25" spans="1:24" x14ac:dyDescent="0.35">
      <c r="A25" s="660" t="s">
        <v>682</v>
      </c>
      <c r="B25" s="660">
        <v>1</v>
      </c>
      <c r="C25" s="660">
        <v>0</v>
      </c>
      <c r="D25" s="660">
        <v>0</v>
      </c>
      <c r="E25" s="660">
        <v>1</v>
      </c>
      <c r="F25" s="660">
        <v>0</v>
      </c>
      <c r="G25" s="816">
        <f>IF(INDEX(tbl_Neo_MedIV,NeoBer1700!B25,5)=0,1,INDEX(tbl_Neo_MedIV,NeoBer1700!B25,5))</f>
        <v>1</v>
      </c>
      <c r="H25" s="816">
        <f t="shared" si="1"/>
        <v>0</v>
      </c>
      <c r="I25" s="816">
        <f>IF(NeoBer1700!G25&gt;1,INDEX(tbl_Neo_FaktorLijst,NeoBer1700!G25),1)</f>
        <v>1</v>
      </c>
      <c r="J25" s="660">
        <v>0</v>
      </c>
      <c r="K25" s="660">
        <f t="shared" si="2"/>
        <v>0</v>
      </c>
      <c r="L25" s="660">
        <f t="shared" si="3"/>
        <v>0</v>
      </c>
      <c r="M25" s="660">
        <f t="shared" si="4"/>
        <v>0</v>
      </c>
      <c r="N25" s="660">
        <f t="shared" si="5"/>
        <v>0</v>
      </c>
      <c r="O25" s="660">
        <f t="shared" si="6"/>
        <v>0</v>
      </c>
      <c r="P25" s="660">
        <f t="shared" si="7"/>
        <v>0</v>
      </c>
      <c r="Q25" s="660">
        <f t="shared" si="8"/>
        <v>0</v>
      </c>
      <c r="R25" s="660">
        <f t="shared" si="9"/>
        <v>0</v>
      </c>
      <c r="W25" s="660">
        <f t="shared" si="11"/>
        <v>0</v>
      </c>
      <c r="X25" s="660">
        <f t="shared" si="10"/>
        <v>0</v>
      </c>
    </row>
    <row r="26" spans="1:24" x14ac:dyDescent="0.35">
      <c r="A26" s="660" t="s">
        <v>683</v>
      </c>
      <c r="B26" s="660">
        <v>1</v>
      </c>
      <c r="C26" s="660">
        <v>0</v>
      </c>
      <c r="D26" s="660">
        <v>0</v>
      </c>
      <c r="E26" s="660">
        <v>1</v>
      </c>
      <c r="F26" s="660">
        <v>0</v>
      </c>
      <c r="G26" s="816">
        <f>IF(INDEX(tbl_Neo_MedIV,NeoBer1700!B26,5)=0,1,INDEX(tbl_Neo_MedIV,NeoBer1700!B26,5))</f>
        <v>1</v>
      </c>
      <c r="H26" s="816">
        <f t="shared" si="1"/>
        <v>0</v>
      </c>
      <c r="I26" s="816">
        <f>IF(NeoBer1700!G26&gt;1,INDEX(tbl_Neo_FaktorLijst,NeoBer1700!G26),1)</f>
        <v>1</v>
      </c>
      <c r="J26" s="660">
        <v>0</v>
      </c>
      <c r="K26" s="660">
        <f t="shared" si="2"/>
        <v>0</v>
      </c>
      <c r="L26" s="660">
        <f t="shared" si="3"/>
        <v>0</v>
      </c>
      <c r="M26" s="660">
        <f t="shared" si="4"/>
        <v>0</v>
      </c>
      <c r="N26" s="660">
        <f t="shared" si="5"/>
        <v>0</v>
      </c>
      <c r="O26" s="660">
        <f t="shared" si="6"/>
        <v>0</v>
      </c>
      <c r="P26" s="660">
        <f t="shared" si="7"/>
        <v>0</v>
      </c>
      <c r="Q26" s="660">
        <f t="shared" si="8"/>
        <v>0</v>
      </c>
      <c r="R26" s="660">
        <f t="shared" si="9"/>
        <v>0</v>
      </c>
      <c r="W26" s="660">
        <f t="shared" si="11"/>
        <v>0</v>
      </c>
      <c r="X26" s="660">
        <f t="shared" si="10"/>
        <v>0</v>
      </c>
    </row>
    <row r="27" spans="1:24" x14ac:dyDescent="0.35">
      <c r="A27" s="660" t="s">
        <v>684</v>
      </c>
      <c r="B27" s="660">
        <v>1</v>
      </c>
      <c r="C27" s="660">
        <v>0</v>
      </c>
      <c r="D27" s="660">
        <v>0</v>
      </c>
      <c r="E27" s="660">
        <v>1</v>
      </c>
      <c r="F27" s="660">
        <v>0</v>
      </c>
      <c r="G27" s="816">
        <f>IF(INDEX(tbl_Neo_MedIV,NeoBer1700!B27,5)=0,1,INDEX(tbl_Neo_MedIV,NeoBer1700!B27,5))</f>
        <v>1</v>
      </c>
      <c r="H27" s="816">
        <f t="shared" si="1"/>
        <v>0</v>
      </c>
      <c r="I27" s="816">
        <f>IF(NeoBer1700!G27&gt;1,INDEX(tbl_Neo_FaktorLijst,NeoBer1700!G27),1)</f>
        <v>1</v>
      </c>
      <c r="J27" s="660">
        <v>0</v>
      </c>
      <c r="K27" s="660">
        <f t="shared" si="2"/>
        <v>0</v>
      </c>
      <c r="L27" s="660">
        <f t="shared" si="3"/>
        <v>0</v>
      </c>
      <c r="M27" s="660">
        <f t="shared" si="4"/>
        <v>0</v>
      </c>
      <c r="N27" s="660">
        <f t="shared" si="5"/>
        <v>0</v>
      </c>
      <c r="O27" s="660">
        <f t="shared" si="6"/>
        <v>0</v>
      </c>
      <c r="P27" s="660">
        <f t="shared" si="7"/>
        <v>0</v>
      </c>
      <c r="Q27" s="660">
        <f t="shared" si="8"/>
        <v>0</v>
      </c>
      <c r="R27" s="660">
        <f t="shared" si="9"/>
        <v>0</v>
      </c>
      <c r="W27" s="660">
        <f t="shared" si="11"/>
        <v>0</v>
      </c>
      <c r="X27" s="660">
        <f t="shared" si="10"/>
        <v>0</v>
      </c>
    </row>
    <row r="28" spans="1:24" x14ac:dyDescent="0.35">
      <c r="A28" s="660" t="s">
        <v>685</v>
      </c>
      <c r="B28" s="660">
        <v>1</v>
      </c>
      <c r="C28" s="660">
        <v>0</v>
      </c>
      <c r="D28" s="660">
        <v>0</v>
      </c>
      <c r="E28" s="660">
        <v>1</v>
      </c>
      <c r="F28" s="660">
        <v>0</v>
      </c>
      <c r="G28" s="816">
        <f>IF(INDEX(tbl_Neo_MedIV,NeoBer1700!B28,5)=0,1,INDEX(tbl_Neo_MedIV,NeoBer1700!B28,5))</f>
        <v>1</v>
      </c>
      <c r="H28" s="816">
        <f t="shared" si="1"/>
        <v>0</v>
      </c>
      <c r="I28" s="816">
        <f>IF(NeoBer1700!G28&gt;1,INDEX(tbl_Neo_FaktorLijst,NeoBer1700!G28),1)</f>
        <v>1</v>
      </c>
      <c r="J28" s="660">
        <v>0</v>
      </c>
      <c r="K28" s="660">
        <f t="shared" si="2"/>
        <v>0</v>
      </c>
      <c r="L28" s="660">
        <f t="shared" si="3"/>
        <v>0</v>
      </c>
      <c r="M28" s="660">
        <f t="shared" si="4"/>
        <v>0</v>
      </c>
      <c r="N28" s="660">
        <f t="shared" si="5"/>
        <v>0</v>
      </c>
      <c r="O28" s="660">
        <f t="shared" si="6"/>
        <v>0</v>
      </c>
      <c r="P28" s="660">
        <f t="shared" si="7"/>
        <v>0</v>
      </c>
      <c r="Q28" s="660">
        <f t="shared" si="8"/>
        <v>0</v>
      </c>
      <c r="R28" s="660">
        <f t="shared" si="9"/>
        <v>0</v>
      </c>
      <c r="W28" s="660">
        <f t="shared" si="11"/>
        <v>0</v>
      </c>
      <c r="X28" s="660">
        <f t="shared" si="10"/>
        <v>0</v>
      </c>
    </row>
    <row r="29" spans="1:24" x14ac:dyDescent="0.35">
      <c r="A29" s="660" t="s">
        <v>615</v>
      </c>
      <c r="E29" s="660">
        <v>1</v>
      </c>
      <c r="F29" s="660">
        <v>0</v>
      </c>
      <c r="J29" s="660" t="b">
        <v>0</v>
      </c>
      <c r="K29" s="660">
        <f t="shared" si="2"/>
        <v>0</v>
      </c>
      <c r="L29" s="660">
        <f t="shared" si="3"/>
        <v>0</v>
      </c>
      <c r="M29" s="660">
        <f t="shared" si="4"/>
        <v>0</v>
      </c>
      <c r="N29" s="660">
        <f t="shared" si="5"/>
        <v>0</v>
      </c>
      <c r="O29" s="660">
        <f t="shared" si="6"/>
        <v>0</v>
      </c>
      <c r="P29" s="660">
        <f t="shared" si="7"/>
        <v>0</v>
      </c>
      <c r="Q29" s="660">
        <f t="shared" si="8"/>
        <v>0</v>
      </c>
      <c r="R29" s="660">
        <f t="shared" si="9"/>
        <v>0</v>
      </c>
      <c r="W29" s="660">
        <f>ROUND(IF(X29*10&gt;1,X29*10,X29*600),0)</f>
        <v>0</v>
      </c>
      <c r="X29" s="660">
        <f t="shared" si="10"/>
        <v>0</v>
      </c>
    </row>
    <row r="30" spans="1:24" x14ac:dyDescent="0.35">
      <c r="A30" s="660" t="s">
        <v>616</v>
      </c>
      <c r="E30" s="660">
        <v>1</v>
      </c>
      <c r="F30" s="660">
        <v>0</v>
      </c>
      <c r="J30" s="660" t="b">
        <v>0</v>
      </c>
      <c r="K30" s="660">
        <f t="shared" si="2"/>
        <v>0</v>
      </c>
      <c r="L30" s="660">
        <f t="shared" si="3"/>
        <v>0</v>
      </c>
      <c r="M30" s="660">
        <f t="shared" si="4"/>
        <v>0</v>
      </c>
      <c r="N30" s="660">
        <f t="shared" si="5"/>
        <v>0</v>
      </c>
      <c r="O30" s="660">
        <f t="shared" si="6"/>
        <v>0</v>
      </c>
      <c r="P30" s="660">
        <f t="shared" si="7"/>
        <v>0</v>
      </c>
      <c r="Q30" s="660">
        <f t="shared" si="8"/>
        <v>0</v>
      </c>
      <c r="R30" s="660">
        <f t="shared" si="9"/>
        <v>0</v>
      </c>
      <c r="W30" s="660">
        <f>ROUND(IF(X30*10&gt;1,X30*10,X30*600),0)</f>
        <v>0</v>
      </c>
      <c r="X30" s="660">
        <f t="shared" si="10"/>
        <v>0</v>
      </c>
    </row>
    <row r="31" spans="1:24" x14ac:dyDescent="0.35">
      <c r="A31" s="660" t="s">
        <v>617</v>
      </c>
      <c r="E31" s="660">
        <v>1</v>
      </c>
      <c r="F31" s="660">
        <v>0</v>
      </c>
      <c r="J31" s="660" t="b">
        <v>0</v>
      </c>
      <c r="K31" s="660">
        <f t="shared" si="2"/>
        <v>0</v>
      </c>
      <c r="L31" s="660">
        <f t="shared" si="3"/>
        <v>0</v>
      </c>
      <c r="M31" s="660">
        <f t="shared" si="4"/>
        <v>0</v>
      </c>
      <c r="N31" s="660">
        <f t="shared" si="5"/>
        <v>0</v>
      </c>
      <c r="O31" s="660">
        <f t="shared" si="6"/>
        <v>0</v>
      </c>
      <c r="P31" s="660">
        <f t="shared" si="7"/>
        <v>0</v>
      </c>
      <c r="Q31" s="660">
        <f t="shared" si="8"/>
        <v>0</v>
      </c>
      <c r="R31" s="660">
        <f t="shared" si="9"/>
        <v>0</v>
      </c>
      <c r="W31" s="660">
        <f>ROUND(IF(X31*10&gt;1,X31*10,X31*600),0)</f>
        <v>0</v>
      </c>
      <c r="X31" s="660">
        <f t="shared" si="10"/>
        <v>0</v>
      </c>
    </row>
    <row r="32" spans="1:24" x14ac:dyDescent="0.35">
      <c r="A32" s="660" t="s">
        <v>1165</v>
      </c>
    </row>
    <row r="33" spans="1:22" x14ac:dyDescent="0.35">
      <c r="A33" s="660" t="s">
        <v>1166</v>
      </c>
    </row>
    <row r="34" spans="1:22" x14ac:dyDescent="0.35">
      <c r="B34" s="660" t="s">
        <v>686</v>
      </c>
      <c r="C34" s="660" t="s">
        <v>687</v>
      </c>
      <c r="D34" s="660" t="s">
        <v>688</v>
      </c>
      <c r="F34" s="816" t="s">
        <v>1179</v>
      </c>
    </row>
    <row r="35" spans="1:22" x14ac:dyDescent="0.35">
      <c r="A35" s="816" t="str">
        <f>INDEX(tbl_Neo_IntralipidSmof,_Neo_1700_IntralipidSmof)</f>
        <v>Intralipid 20% (incl vitintra)</v>
      </c>
      <c r="B35" s="492">
        <f ca="1">ROUND((_Pat_Gewicht/10)*INDEX(NeoBerAdvies!$B$9:$G$16,8,NeoBer1700!$C$6),0)</f>
        <v>0</v>
      </c>
      <c r="C35" s="660">
        <f ca="1">ROUND(IF(AND(B17,B35+(D35-5000)&gt;0),B35+(D35-5000),0),0)</f>
        <v>0</v>
      </c>
      <c r="D35" s="660">
        <v>5000</v>
      </c>
      <c r="F35" s="816">
        <v>1</v>
      </c>
      <c r="K35" s="660">
        <f ca="1">C35</f>
        <v>0</v>
      </c>
      <c r="S35" s="660">
        <f ca="1">0.2*K35*10/12</f>
        <v>0</v>
      </c>
      <c r="V35" s="660">
        <f ca="1">40*C35*2/12</f>
        <v>0</v>
      </c>
    </row>
    <row r="36" spans="1:22" x14ac:dyDescent="0.35">
      <c r="A36" s="660" t="s">
        <v>619</v>
      </c>
      <c r="B36" s="492"/>
      <c r="D36" s="660">
        <v>1</v>
      </c>
    </row>
    <row r="37" spans="1:22" x14ac:dyDescent="0.35">
      <c r="A37" s="660" t="s">
        <v>359</v>
      </c>
      <c r="B37" s="492">
        <f ca="1">ROUND((_Pat_Gewicht/10)*INDEX(NeoBerAdvies!$B$9:$G$16,2,NeoBer1700!$C$6),0)</f>
        <v>0</v>
      </c>
      <c r="C37" s="660">
        <f ca="1">IF(AND($B$17,B37+(D37-5000)/10&gt;0),ROUND(B37+(D37-5000)/10,1),0)</f>
        <v>0</v>
      </c>
      <c r="D37" s="660">
        <v>5000</v>
      </c>
      <c r="K37" s="660">
        <f ca="1">IF(OR($D$36=1,$D$36=3),C37,0)</f>
        <v>0</v>
      </c>
      <c r="L37" s="660">
        <f ca="1">K37*0.5</f>
        <v>0</v>
      </c>
      <c r="U37" s="660">
        <f ca="1">K37*0.5</f>
        <v>0</v>
      </c>
    </row>
    <row r="38" spans="1:22" x14ac:dyDescent="0.35">
      <c r="A38" s="660" t="s">
        <v>620</v>
      </c>
      <c r="B38" s="492">
        <f ca="1">ROUND((_Pat_Gewicht/10)*INDEX(NeoBerAdvies!$B$9:$G$16,3,NeoBer1700!$C$6),0)</f>
        <v>0</v>
      </c>
      <c r="C38" s="660">
        <f ca="1">IF(AND($B$17,B38+(D38-5000)/10&gt;0),ROUND(B38+(D38-5000)/10,1),0)</f>
        <v>0</v>
      </c>
      <c r="D38" s="660">
        <v>5000</v>
      </c>
      <c r="K38" s="660">
        <f ca="1">IF(OR($D$36=1,$D$36=3),C38,0)</f>
        <v>0</v>
      </c>
      <c r="M38" s="660">
        <f ca="1">K38</f>
        <v>0</v>
      </c>
    </row>
    <row r="39" spans="1:22" x14ac:dyDescent="0.35">
      <c r="A39" s="660" t="s">
        <v>621</v>
      </c>
      <c r="B39" s="492">
        <f ca="1">ROUND((_Pat_Gewicht/10)*INDEX(NeoBerAdvies!$B$9:$G$16,4,NeoBer1700!$C$6),0)</f>
        <v>30</v>
      </c>
      <c r="C39" s="660">
        <f ca="1">IF(AND($B$17,B39+(D39-5000)/10&gt;0),ROUND(B39+(D39-5000)/10,1),0)</f>
        <v>0</v>
      </c>
      <c r="D39" s="660">
        <v>5000</v>
      </c>
      <c r="K39" s="660">
        <f ca="1">IF($D$36=1,C39,0)</f>
        <v>0</v>
      </c>
      <c r="N39" s="660">
        <f ca="1">K39*0.225</f>
        <v>0</v>
      </c>
      <c r="U39" s="660">
        <f ca="1">K39*0.225*2</f>
        <v>0</v>
      </c>
    </row>
    <row r="40" spans="1:22" x14ac:dyDescent="0.35">
      <c r="A40" s="660" t="s">
        <v>622</v>
      </c>
      <c r="B40" s="492">
        <f ca="1">ROUND((_Pat_Gewicht/10)*INDEX(NeoBerAdvies!$B$9:$G$16,5,NeoBer1700!$C$6),1)</f>
        <v>3</v>
      </c>
      <c r="C40" s="660">
        <f ca="1">IF(AND($B$17,B40+(D40-5000)/10&gt;0),ROUND(B40+(D40-5000)/10,1),0)</f>
        <v>0</v>
      </c>
      <c r="D40" s="660">
        <v>5000</v>
      </c>
      <c r="K40" s="660">
        <f ca="1">IF($D$36=1,C40,0)</f>
        <v>0</v>
      </c>
      <c r="O40" s="660">
        <f ca="1">K40*0.5</f>
        <v>0</v>
      </c>
      <c r="U40" s="660">
        <f ca="1">K40*0.5*2</f>
        <v>0</v>
      </c>
    </row>
    <row r="41" spans="1:22" x14ac:dyDescent="0.35">
      <c r="A41" s="660" t="s">
        <v>217</v>
      </c>
      <c r="B41" s="492">
        <f ca="1">ROUND((_Pat_Gewicht/10)*INDEX(NeoBerAdvies!$B$9:$G$16,6,NeoBer1700!$C$6),1)</f>
        <v>0</v>
      </c>
      <c r="C41" s="660">
        <f ca="1">IF(AND($B$17,B41+(D41-5000)/10&gt;0),ROUND(B41+(D41-5000)/10,1),0)</f>
        <v>0</v>
      </c>
      <c r="D41" s="660">
        <v>5000</v>
      </c>
      <c r="K41" s="660">
        <f ca="1">IF($D$36=1,C41,0)</f>
        <v>0</v>
      </c>
      <c r="V41" s="660">
        <f ca="1">40*C41</f>
        <v>0</v>
      </c>
    </row>
    <row r="42" spans="1:22" x14ac:dyDescent="0.35">
      <c r="A42" s="660" t="s">
        <v>577</v>
      </c>
      <c r="B42" s="492">
        <f ca="1">ROUND((_Pat_Gewicht/10)*INDEX(NeoBerAdvies!$B$9:$G$16,7,NeoBer1700!$C$6),0)</f>
        <v>0</v>
      </c>
      <c r="C42" s="660">
        <f ca="1">IF(AND($B$17,B42+(D42-5000)&gt;0),ROUND(B42+(D42-5000),0),0)</f>
        <v>0</v>
      </c>
      <c r="D42" s="660">
        <v>5000</v>
      </c>
      <c r="K42" s="660">
        <f ca="1">IF($D$36=1,C42,0)</f>
        <v>0</v>
      </c>
      <c r="Q42" s="660">
        <f ca="1">0.1*K42</f>
        <v>0</v>
      </c>
    </row>
    <row r="43" spans="1:22" x14ac:dyDescent="0.35">
      <c r="A43" s="660" t="s">
        <v>578</v>
      </c>
      <c r="B43" s="492">
        <f ca="1">ROUND((_Pat_Gewicht/10)*INDEX(NeoBerAdvies!$B$9:$G$16,1,NeoBer1700!$C$6),1)</f>
        <v>0</v>
      </c>
      <c r="C43" s="660">
        <f ca="1">ROUND(IF(AND($B$17,B43+(D43-5000)&gt;0),B43+(D43-5000),0),0)</f>
        <v>0</v>
      </c>
      <c r="D43" s="660">
        <v>5000</v>
      </c>
      <c r="K43" s="660">
        <f>IF(D36=2,C43,0)</f>
        <v>0</v>
      </c>
      <c r="L43" s="660">
        <f>INDEX(tbl_Neo_TpnNICU,2,L11)*$K$43</f>
        <v>0</v>
      </c>
      <c r="M43" s="660">
        <f t="shared" ref="M43:T43" si="12">INDEX(tbl_Neo_TpnNICU,2,M11)*$K$43</f>
        <v>0</v>
      </c>
      <c r="N43" s="660">
        <f t="shared" si="12"/>
        <v>0</v>
      </c>
      <c r="O43" s="660">
        <f t="shared" si="12"/>
        <v>0</v>
      </c>
      <c r="P43" s="660">
        <f t="shared" si="12"/>
        <v>0</v>
      </c>
      <c r="Q43" s="660">
        <f t="shared" si="12"/>
        <v>0</v>
      </c>
      <c r="R43" s="660">
        <f t="shared" si="12"/>
        <v>0</v>
      </c>
      <c r="S43" s="660">
        <f t="shared" si="12"/>
        <v>0</v>
      </c>
      <c r="T43" s="660">
        <f t="shared" si="12"/>
        <v>0</v>
      </c>
    </row>
    <row r="44" spans="1:22" x14ac:dyDescent="0.35">
      <c r="A44" s="660" t="s">
        <v>357</v>
      </c>
      <c r="B44" s="492">
        <f ca="1">ROUND((_Pat_Gewicht/10)*INDEX(NeoBerAdvies!$B$9:$G$16,1,NeoBer1700!$C$6),1)</f>
        <v>0</v>
      </c>
      <c r="C44" s="660">
        <f ca="1">ROUND(IF(AND($B$17,B44+(D44-5000)&gt;0),B44+(D44-5000),0),0)</f>
        <v>0</v>
      </c>
      <c r="D44" s="660">
        <v>5000</v>
      </c>
      <c r="K44" s="660">
        <f>IF(D36=3,C44,0)</f>
        <v>0</v>
      </c>
      <c r="L44" s="660">
        <f>INDEX(tbl_Neo_TpnNICU,1,L11)*$K$44</f>
        <v>0</v>
      </c>
      <c r="M44" s="660">
        <f t="shared" ref="M44:T44" si="13">INDEX(tbl_Neo_TpnNICU,1,M11)*$K$44</f>
        <v>0</v>
      </c>
      <c r="N44" s="660">
        <f t="shared" si="13"/>
        <v>0</v>
      </c>
      <c r="O44" s="660">
        <f t="shared" si="13"/>
        <v>0</v>
      </c>
      <c r="P44" s="660">
        <f t="shared" si="13"/>
        <v>0</v>
      </c>
      <c r="Q44" s="660">
        <f t="shared" si="13"/>
        <v>0</v>
      </c>
      <c r="R44" s="660">
        <f t="shared" si="13"/>
        <v>0</v>
      </c>
      <c r="S44" s="660">
        <f t="shared" si="13"/>
        <v>0</v>
      </c>
      <c r="T44" s="660">
        <f t="shared" si="13"/>
        <v>0</v>
      </c>
    </row>
    <row r="45" spans="1:22" x14ac:dyDescent="0.35">
      <c r="A45" s="660" t="s">
        <v>689</v>
      </c>
      <c r="D45" s="660">
        <v>2</v>
      </c>
      <c r="K45" s="660">
        <f>IF(B17,ROUND(C17-SUM(K18:K44),1),0)</f>
        <v>0</v>
      </c>
      <c r="R45" s="660">
        <f>INDEX(tbl_Neo_Opl,D45+1,2)*K45</f>
        <v>0</v>
      </c>
    </row>
    <row r="47" spans="1:22" x14ac:dyDescent="0.35">
      <c r="A47" s="660" t="s">
        <v>124</v>
      </c>
      <c r="K47" s="660">
        <f ca="1">K49+K50</f>
        <v>0</v>
      </c>
      <c r="L47" s="660">
        <f t="shared" ref="L47:V47" ca="1" si="14">L49+L50</f>
        <v>0</v>
      </c>
      <c r="M47" s="660">
        <f t="shared" ca="1" si="14"/>
        <v>0</v>
      </c>
      <c r="N47" s="660">
        <f t="shared" ca="1" si="14"/>
        <v>0</v>
      </c>
      <c r="O47" s="660">
        <f t="shared" ca="1" si="14"/>
        <v>0</v>
      </c>
      <c r="P47" s="660">
        <f t="shared" si="14"/>
        <v>0</v>
      </c>
      <c r="Q47" s="660">
        <f t="shared" ca="1" si="14"/>
        <v>0</v>
      </c>
      <c r="R47" s="660">
        <f t="shared" si="14"/>
        <v>0</v>
      </c>
      <c r="S47" s="660">
        <f t="shared" ca="1" si="14"/>
        <v>0</v>
      </c>
      <c r="T47" s="660">
        <f t="shared" ca="1" si="14"/>
        <v>0</v>
      </c>
      <c r="U47" s="660">
        <f t="shared" ca="1" si="14"/>
        <v>0</v>
      </c>
      <c r="V47" s="660">
        <f t="shared" ca="1" si="14"/>
        <v>0</v>
      </c>
    </row>
    <row r="49" spans="1:22" x14ac:dyDescent="0.35">
      <c r="A49" s="660" t="s">
        <v>220</v>
      </c>
      <c r="K49" s="660">
        <f>K14</f>
        <v>0</v>
      </c>
      <c r="L49" s="660">
        <f t="shared" ref="L49:V49" si="15">L14+IF(INDEX(tbl_Neo_LijstVoeding,_Neo_InfB_Voeding,14)="MM",L57,L62)</f>
        <v>0</v>
      </c>
      <c r="M49" s="660">
        <f t="shared" si="15"/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</row>
    <row r="50" spans="1:22" x14ac:dyDescent="0.35">
      <c r="A50" s="660" t="s">
        <v>218</v>
      </c>
      <c r="K50" s="660">
        <f ca="1">SUM(K18:K45)</f>
        <v>0</v>
      </c>
      <c r="L50" s="660">
        <f t="shared" ref="L50:V50" ca="1" si="16">SUM(L18:L45)</f>
        <v>0</v>
      </c>
      <c r="M50" s="660">
        <f t="shared" ca="1" si="16"/>
        <v>0</v>
      </c>
      <c r="N50" s="660">
        <f t="shared" ca="1" si="16"/>
        <v>0</v>
      </c>
      <c r="O50" s="660">
        <f t="shared" ca="1" si="16"/>
        <v>0</v>
      </c>
      <c r="P50" s="660">
        <f t="shared" si="16"/>
        <v>0</v>
      </c>
      <c r="Q50" s="660">
        <f t="shared" ca="1" si="16"/>
        <v>0</v>
      </c>
      <c r="R50" s="660">
        <f t="shared" si="16"/>
        <v>0</v>
      </c>
      <c r="S50" s="660">
        <f t="shared" ca="1" si="16"/>
        <v>0</v>
      </c>
      <c r="T50" s="660">
        <f ca="1">S50*9+R50*4+Q50*4</f>
        <v>0</v>
      </c>
      <c r="U50" s="660">
        <f t="shared" ca="1" si="16"/>
        <v>0</v>
      </c>
      <c r="V50" s="660">
        <f t="shared" ca="1" si="16"/>
        <v>0</v>
      </c>
    </row>
    <row r="52" spans="1:22" x14ac:dyDescent="0.35">
      <c r="A52" s="660" t="s">
        <v>982</v>
      </c>
      <c r="B52" s="660">
        <v>2</v>
      </c>
      <c r="J52" s="660">
        <v>1</v>
      </c>
      <c r="K52" s="816">
        <f>INDEX(tbl_Neo_NutrBMFWaard,NeoBer1700!J52)</f>
        <v>0</v>
      </c>
      <c r="L52" s="651">
        <f t="shared" ref="L52:V52" si="17">IF($J52&gt;1,($K52/100)*$K$49*HLOOKUP(L1,tbl_Neo_NutrBMFToev,$B52,FALSE),0)</f>
        <v>0</v>
      </c>
      <c r="M52" s="651">
        <f t="shared" si="17"/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</row>
    <row r="53" spans="1:22" x14ac:dyDescent="0.35">
      <c r="A53" s="660" t="s">
        <v>973</v>
      </c>
      <c r="B53" s="660">
        <v>1</v>
      </c>
      <c r="C53" s="660">
        <f>_Neo_InfB_Toevoeging_1+1</f>
        <v>3</v>
      </c>
      <c r="J53" s="660">
        <v>1</v>
      </c>
      <c r="K53" s="816">
        <f>INDEX(tbl_Neo_NutrToevWaard,NeoBer1700!J53)</f>
        <v>0</v>
      </c>
      <c r="L53" s="651">
        <f>IF($B53&gt;1,($K53)*$K$49*HLOOKUP(NeoBer1700!L$1,tbl_Neo_OpzoektabelMM,$C53,FALSE),0)</f>
        <v>0</v>
      </c>
      <c r="M53" s="651">
        <f>IF($B53&gt;1,($K53)*$K$49*HLOOKUP(NeoBer1700!M$1,tbl_Neo_OpzoektabelMM,$C53,FALSE),0)</f>
        <v>0</v>
      </c>
      <c r="N53" s="651">
        <f>IF($B53&gt;1,($K53)*$K$49*HLOOKUP(NeoBer1700!N$1,tbl_Neo_OpzoektabelMM,$C53,FALSE),0)</f>
        <v>0</v>
      </c>
      <c r="O53" s="651">
        <f>IF($B53&gt;1,($K53)*$K$49*HLOOKUP(NeoBer1700!O$1,tbl_Neo_OpzoektabelMM,$C53,FALSE),0)</f>
        <v>0</v>
      </c>
      <c r="P53" s="651">
        <f>IF($B53&gt;1,($K53)*$K$49*HLOOKUP(NeoBer1700!P$1,tbl_Neo_OpzoektabelMM,$C53,FALSE),0)</f>
        <v>0</v>
      </c>
      <c r="Q53" s="651">
        <f>IF($B53&gt;1,($K53)*$K$49*HLOOKUP(NeoBer1700!Q$1,tbl_Neo_OpzoektabelMM,$C53,FALSE),0)</f>
        <v>0</v>
      </c>
      <c r="R53" s="651">
        <f>IF($B53&gt;1,($K53)*$K$49*HLOOKUP(NeoBer1700!R$1,tbl_Neo_OpzoektabelMM,$C53,FALSE),0)</f>
        <v>0</v>
      </c>
      <c r="S53" s="651">
        <f>IF($B53&gt;1,($K53)*$K$49*HLOOKUP(NeoBer1700!S$1,tbl_Neo_OpzoektabelMM,$C53,FALSE),0)</f>
        <v>0</v>
      </c>
      <c r="T53" s="651">
        <f>IF($B53&gt;1,($K53)*$K$49*HLOOKUP(NeoBer1700!T$1,tbl_Neo_OpzoektabelMM,$C53,FALSE),0)</f>
        <v>0</v>
      </c>
      <c r="U53" s="651">
        <f>IF($B53&gt;1,($K53)*$K$49*HLOOKUP(NeoBer1700!U$1,tbl_Neo_OpzoektabelMM,$C53,FALSE),0)</f>
        <v>0</v>
      </c>
      <c r="V53" s="651">
        <f>IF($B53&gt;1,($K53)*$K$49*HLOOKUP(NeoBer1700!V$1,tbl_Neo_OpzoektabelMM,$C53,FALSE),0)</f>
        <v>0</v>
      </c>
    </row>
    <row r="54" spans="1:22" x14ac:dyDescent="0.35">
      <c r="A54" s="660" t="s">
        <v>974</v>
      </c>
      <c r="B54" s="660">
        <v>1</v>
      </c>
      <c r="C54" s="660">
        <f>_Neo_InfB_Toevoeging_2+1</f>
        <v>6</v>
      </c>
      <c r="J54" s="660">
        <v>1</v>
      </c>
      <c r="K54" s="816">
        <f>INDEX(tbl_Neo_NutrToevWaard,NeoBer1700!J54)</f>
        <v>0</v>
      </c>
      <c r="L54" s="651">
        <f>IF($B54&gt;1,($K54)*$K$49*HLOOKUP(NeoBer1700!L$1,tbl_Neo_OpzoektabelMM,$C54,FALSE),0)</f>
        <v>0</v>
      </c>
      <c r="M54" s="651">
        <f>IF($B54&gt;1,($K54)*$K$49*HLOOKUP(NeoBer1700!M$1,tbl_Neo_OpzoektabelMM,$C54,FALSE),0)</f>
        <v>0</v>
      </c>
      <c r="N54" s="651">
        <f>IF($B54&gt;1,($K54)*$K$49*HLOOKUP(NeoBer1700!N$1,tbl_Neo_OpzoektabelMM,$C54,FALSE),0)</f>
        <v>0</v>
      </c>
      <c r="O54" s="651">
        <f>IF($B54&gt;1,($K54)*$K$49*HLOOKUP(NeoBer1700!O$1,tbl_Neo_OpzoektabelMM,$C54,FALSE),0)</f>
        <v>0</v>
      </c>
      <c r="P54" s="651">
        <f>IF($B54&gt;1,($K54)*$K$49*HLOOKUP(NeoBer1700!P$1,tbl_Neo_OpzoektabelMM,$C54,FALSE),0)</f>
        <v>0</v>
      </c>
      <c r="Q54" s="651">
        <f>IF($B54&gt;1,($K54)*$K$49*HLOOKUP(NeoBer1700!Q$1,tbl_Neo_OpzoektabelMM,$C54,FALSE),0)</f>
        <v>0</v>
      </c>
      <c r="R54" s="651">
        <f>IF($B54&gt;1,($K54)*$K$49*HLOOKUP(NeoBer1700!R$1,tbl_Neo_OpzoektabelMM,$C54,FALSE),0)</f>
        <v>0</v>
      </c>
      <c r="S54" s="651">
        <f>IF($B54&gt;1,($K54)*$K$49*HLOOKUP(NeoBer1700!S$1,tbl_Neo_OpzoektabelMM,$C54,FALSE),0)</f>
        <v>0</v>
      </c>
      <c r="T54" s="651">
        <f>IF($B54&gt;1,($K54)*$K$49*HLOOKUP(NeoBer1700!T$1,tbl_Neo_OpzoektabelMM,$C54,FALSE),0)</f>
        <v>0</v>
      </c>
      <c r="U54" s="651">
        <f>IF($B54&gt;1,($K54)*$K$49*HLOOKUP(NeoBer1700!U$1,tbl_Neo_OpzoektabelMM,$C54,FALSE),0)</f>
        <v>0</v>
      </c>
      <c r="V54" s="651">
        <f>IF($B54&gt;1,($K54)*$K$49*HLOOKUP(NeoBer1700!V$1,tbl_Neo_OpzoektabelMM,$C54,FALSE),0)</f>
        <v>0</v>
      </c>
    </row>
    <row r="55" spans="1:22" x14ac:dyDescent="0.35">
      <c r="A55" s="660" t="s">
        <v>975</v>
      </c>
      <c r="B55" s="660">
        <v>1</v>
      </c>
      <c r="C55" s="660">
        <f>_Neo_InfB_Toevoeging_3+1</f>
        <v>7</v>
      </c>
      <c r="J55" s="660">
        <v>1</v>
      </c>
      <c r="K55" s="816">
        <f>INDEX(tbl_Neo_NutrToevWaard,NeoBer1700!J55)</f>
        <v>0</v>
      </c>
      <c r="L55" s="651">
        <f>IF($B55&gt;1,($K55)*$K$49*HLOOKUP(NeoBer1700!L$1,tbl_Neo_OpzoektabelMM,$C55,FALSE),0)</f>
        <v>0</v>
      </c>
      <c r="M55" s="651">
        <f>IF($B55&gt;1,($K55)*$K$49*HLOOKUP(NeoBer1700!M$1,tbl_Neo_OpzoektabelMM,$C55,FALSE),0)</f>
        <v>0</v>
      </c>
      <c r="N55" s="651">
        <f>IF($B55&gt;1,($K55)*$K$49*HLOOKUP(NeoBer1700!N$1,tbl_Neo_OpzoektabelMM,$C55,FALSE),0)</f>
        <v>0</v>
      </c>
      <c r="O55" s="651">
        <f>IF($B55&gt;1,($K55)*$K$49*HLOOKUP(NeoBer1700!O$1,tbl_Neo_OpzoektabelMM,$C55,FALSE),0)</f>
        <v>0</v>
      </c>
      <c r="P55" s="651">
        <f>IF($B55&gt;1,($K55)*$K$49*HLOOKUP(NeoBer1700!P$1,tbl_Neo_OpzoektabelMM,$C55,FALSE),0)</f>
        <v>0</v>
      </c>
      <c r="Q55" s="651">
        <f>IF($B55&gt;1,($K55)*$K$49*HLOOKUP(NeoBer1700!Q$1,tbl_Neo_OpzoektabelMM,$C55,FALSE),0)</f>
        <v>0</v>
      </c>
      <c r="R55" s="651">
        <f>IF($B55&gt;1,($K55)*$K$49*HLOOKUP(NeoBer1700!R$1,tbl_Neo_OpzoektabelMM,$C55,FALSE),0)</f>
        <v>0</v>
      </c>
      <c r="S55" s="651">
        <f>IF($B55&gt;1,($K55)*$K$49*HLOOKUP(NeoBer1700!S$1,tbl_Neo_OpzoektabelMM,$C55,FALSE),0)</f>
        <v>0</v>
      </c>
      <c r="T55" s="651">
        <f>IF($B55&gt;1,($K55)*$K$49*HLOOKUP(NeoBer1700!T$1,tbl_Neo_OpzoektabelMM,$C55,FALSE),0)</f>
        <v>0</v>
      </c>
      <c r="U55" s="651">
        <f>IF($B55&gt;1,($K55)*$K$49*HLOOKUP(NeoBer1700!U$1,tbl_Neo_OpzoektabelMM,$C55,FALSE),0)</f>
        <v>0</v>
      </c>
      <c r="V55" s="651">
        <f>IF($B55&gt;1,($K55)*$K$49*HLOOKUP(NeoBer1700!V$1,tbl_Neo_OpzoektabelMM,$C55,FALSE),0)</f>
        <v>0</v>
      </c>
    </row>
    <row r="56" spans="1:22" x14ac:dyDescent="0.35">
      <c r="A56" s="660" t="s">
        <v>976</v>
      </c>
      <c r="B56" s="660">
        <v>1</v>
      </c>
      <c r="C56" s="660">
        <f>_Neo_InfB_Toevoeging_4+1</f>
        <v>3</v>
      </c>
      <c r="J56" s="660">
        <v>1</v>
      </c>
      <c r="K56" s="816">
        <f>INDEX(tbl_Neo_NutrToevWaard,NeoBer1700!J56)</f>
        <v>0</v>
      </c>
      <c r="L56" s="651">
        <f>IF($B56&gt;1,($K56)*$K$49*HLOOKUP(NeoBer1700!L$1,tbl_Neo_OpzoektabelMM,$C56,FALSE),0)</f>
        <v>0</v>
      </c>
      <c r="M56" s="651">
        <f>IF($B56&gt;1,($K56)*$K$49*HLOOKUP(NeoBer1700!M$1,tbl_Neo_OpzoektabelMM,$C56,FALSE),0)</f>
        <v>0</v>
      </c>
      <c r="N56" s="651">
        <f>IF($B56&gt;1,($K56)*$K$49*HLOOKUP(NeoBer1700!N$1,tbl_Neo_OpzoektabelMM,$C56,FALSE),0)</f>
        <v>0</v>
      </c>
      <c r="O56" s="651">
        <f>IF($B56&gt;1,($K56)*$K$49*HLOOKUP(NeoBer1700!O$1,tbl_Neo_OpzoektabelMM,$C56,FALSE),0)</f>
        <v>0</v>
      </c>
      <c r="P56" s="651">
        <f>IF($B56&gt;1,($K56)*$K$49*HLOOKUP(NeoBer1700!P$1,tbl_Neo_OpzoektabelMM,$C56,FALSE),0)</f>
        <v>0</v>
      </c>
      <c r="Q56" s="651">
        <f>IF($B56&gt;1,($K56)*$K$49*HLOOKUP(NeoBer1700!Q$1,tbl_Neo_OpzoektabelMM,$C56,FALSE),0)</f>
        <v>0</v>
      </c>
      <c r="R56" s="651">
        <f>IF($B56&gt;1,($K56)*$K$49*HLOOKUP(NeoBer1700!R$1,tbl_Neo_OpzoektabelMM,$C56,FALSE),0)</f>
        <v>0</v>
      </c>
      <c r="S56" s="651">
        <f>IF($B56&gt;1,($K56)*$K$49*HLOOKUP(NeoBer1700!S$1,tbl_Neo_OpzoektabelMM,$C56,FALSE),0)</f>
        <v>0</v>
      </c>
      <c r="T56" s="651">
        <f>IF($B56&gt;1,($K56)*$K$49*HLOOKUP(NeoBer1700!T$1,tbl_Neo_OpzoektabelMM,$C56,FALSE),0)</f>
        <v>0</v>
      </c>
      <c r="U56" s="651">
        <f>IF($B56&gt;1,($K56)*$K$49*HLOOKUP(NeoBer1700!U$1,tbl_Neo_OpzoektabelMM,$C56,FALSE),0)</f>
        <v>0</v>
      </c>
      <c r="V56" s="651">
        <f>IF($B56&gt;1,($K56)*$K$49*HLOOKUP(NeoBer1700!V$1,tbl_Neo_OpzoektabelMM,$C56,FALSE),0)</f>
        <v>0</v>
      </c>
    </row>
    <row r="57" spans="1:22" x14ac:dyDescent="0.35">
      <c r="A57" s="660" t="s">
        <v>1071</v>
      </c>
      <c r="K57" s="816"/>
      <c r="L57" s="651">
        <f>SUM(L52:L56)</f>
        <v>0</v>
      </c>
      <c r="M57" s="651">
        <f t="shared" ref="M57:V57" si="18">SUM(M52:M56)</f>
        <v>0</v>
      </c>
      <c r="N57" s="651">
        <f t="shared" si="18"/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</row>
    <row r="58" spans="1:22" x14ac:dyDescent="0.35">
      <c r="A58" s="660" t="s">
        <v>977</v>
      </c>
      <c r="B58" s="660">
        <v>1</v>
      </c>
      <c r="C58" s="660">
        <f>_Neo_InfB_Toevoeging_5+1</f>
        <v>3</v>
      </c>
      <c r="J58" s="660">
        <v>1</v>
      </c>
      <c r="K58" s="816">
        <f>INDEX(tbl_Neo_NutrToevWaard,NeoBer1700!J58)</f>
        <v>0</v>
      </c>
      <c r="L58" s="651">
        <f>IF($B58&gt;1,($K58)*$K$49*HLOOKUP(NeoBer1700!L$1,tbl_Neo_OpzoektabelKV,$C58,FALSE),0)</f>
        <v>0</v>
      </c>
      <c r="M58" s="651">
        <f>IF($B58&gt;1,($K58)*$K$49*HLOOKUP(NeoBer1700!M$1,tbl_Neo_OpzoektabelKV,$C58,FALSE),0)</f>
        <v>0</v>
      </c>
      <c r="N58" s="651">
        <f>IF($B58&gt;1,($K58)*$K$49*HLOOKUP(NeoBer1700!N$1,tbl_Neo_OpzoektabelKV,$C58,FALSE),0)</f>
        <v>0</v>
      </c>
      <c r="O58" s="651">
        <f>IF($B58&gt;1,($K58)*$K$49*HLOOKUP(NeoBer1700!O$1,tbl_Neo_OpzoektabelKV,$C58,FALSE),0)</f>
        <v>0</v>
      </c>
      <c r="P58" s="651">
        <f>IF($B58&gt;1,($K58)*$K$49*HLOOKUP(NeoBer1700!P$1,tbl_Neo_OpzoektabelKV,$C58,FALSE),0)</f>
        <v>0</v>
      </c>
      <c r="Q58" s="651">
        <f>IF($B58&gt;1,($K58)*$K$49*HLOOKUP(NeoBer1700!Q$1,tbl_Neo_OpzoektabelKV,$C58,FALSE),0)</f>
        <v>0</v>
      </c>
      <c r="R58" s="651">
        <f>IF($B58&gt;1,($K58)*$K$49*HLOOKUP(NeoBer1700!R$1,tbl_Neo_OpzoektabelKV,$C58,FALSE),0)</f>
        <v>0</v>
      </c>
      <c r="S58" s="651">
        <f>IF($B58&gt;1,($K58)*$K$49*HLOOKUP(NeoBer1700!S$1,tbl_Neo_OpzoektabelKV,$C58,FALSE),0)</f>
        <v>0</v>
      </c>
      <c r="T58" s="651">
        <f>IF($B58&gt;1,($K58)*$K$49*HLOOKUP(NeoBer1700!T$1,tbl_Neo_OpzoektabelKV,$C58,FALSE),0)</f>
        <v>0</v>
      </c>
      <c r="U58" s="651">
        <f>IF($B58&gt;1,($K58)*$K$49*HLOOKUP(NeoBer1700!U$1,tbl_Neo_OpzoektabelKV,$C58,FALSE),0)</f>
        <v>0</v>
      </c>
      <c r="V58" s="651">
        <f>IF($B58&gt;1,($K58)*$K$49*HLOOKUP(NeoBer1700!V$1,tbl_Neo_OpzoektabelKV,$C58,FALSE),0)</f>
        <v>0</v>
      </c>
    </row>
    <row r="59" spans="1:22" x14ac:dyDescent="0.35">
      <c r="A59" s="660" t="s">
        <v>978</v>
      </c>
      <c r="B59" s="660">
        <v>1</v>
      </c>
      <c r="C59" s="660">
        <f>_Neo_InfB_Toevoeging_6+1</f>
        <v>4</v>
      </c>
      <c r="J59" s="660">
        <v>1</v>
      </c>
      <c r="K59" s="816">
        <f>INDEX(tbl_Neo_NutrToevWaard,NeoBer1700!J59)</f>
        <v>0</v>
      </c>
      <c r="L59" s="651">
        <f>IF($B59&gt;1,($K59)*$K$49*HLOOKUP(NeoBer1700!L$1,tbl_Neo_OpzoektabelKV,$C59,FALSE),0)</f>
        <v>0</v>
      </c>
      <c r="M59" s="651">
        <f>IF($B59&gt;1,($K59)*$K$49*HLOOKUP(NeoBer1700!M$1,tbl_Neo_OpzoektabelKV,$C59,FALSE),0)</f>
        <v>0</v>
      </c>
      <c r="N59" s="651">
        <f>IF($B59&gt;1,($K59)*$K$49*HLOOKUP(NeoBer1700!N$1,tbl_Neo_OpzoektabelKV,$C59,FALSE),0)</f>
        <v>0</v>
      </c>
      <c r="O59" s="651">
        <f>IF($B59&gt;1,($K59)*$K$49*HLOOKUP(NeoBer1700!O$1,tbl_Neo_OpzoektabelKV,$C59,FALSE),0)</f>
        <v>0</v>
      </c>
      <c r="P59" s="651">
        <f>IF($B59&gt;1,($K59)*$K$49*HLOOKUP(NeoBer1700!P$1,tbl_Neo_OpzoektabelKV,$C59,FALSE),0)</f>
        <v>0</v>
      </c>
      <c r="Q59" s="651">
        <f>IF($B59&gt;1,($K59)*$K$49*HLOOKUP(NeoBer1700!Q$1,tbl_Neo_OpzoektabelKV,$C59,FALSE),0)</f>
        <v>0</v>
      </c>
      <c r="R59" s="651">
        <f>IF($B59&gt;1,($K59)*$K$49*HLOOKUP(NeoBer1700!R$1,tbl_Neo_OpzoektabelKV,$C59,FALSE),0)</f>
        <v>0</v>
      </c>
      <c r="S59" s="651">
        <f>IF($B59&gt;1,($K59)*$K$49*HLOOKUP(NeoBer1700!S$1,tbl_Neo_OpzoektabelKV,$C59,FALSE),0)</f>
        <v>0</v>
      </c>
      <c r="T59" s="651">
        <f>IF($B59&gt;1,($K59)*$K$49*HLOOKUP(NeoBer1700!T$1,tbl_Neo_OpzoektabelKV,$C59,FALSE),0)</f>
        <v>0</v>
      </c>
      <c r="U59" s="651">
        <f>IF($B59&gt;1,($K59)*$K$49*HLOOKUP(NeoBer1700!U$1,tbl_Neo_OpzoektabelKV,$C59,FALSE),0)</f>
        <v>0</v>
      </c>
      <c r="V59" s="651">
        <f>IF($B59&gt;1,($K59)*$K$49*HLOOKUP(NeoBer1700!V$1,tbl_Neo_OpzoektabelKV,$C59,FALSE),0)</f>
        <v>0</v>
      </c>
    </row>
    <row r="60" spans="1:22" x14ac:dyDescent="0.35">
      <c r="A60" s="660" t="s">
        <v>979</v>
      </c>
      <c r="B60" s="660">
        <v>1</v>
      </c>
      <c r="C60" s="660">
        <f>_Neo_InfB_Toevoeging_7+1</f>
        <v>5</v>
      </c>
      <c r="J60" s="660">
        <v>1</v>
      </c>
      <c r="K60" s="816">
        <f>INDEX(tbl_Neo_NutrToevWaard,NeoBer1700!J60)</f>
        <v>0</v>
      </c>
      <c r="L60" s="651">
        <f>IF($B60&gt;1,($K60)*$K$49*HLOOKUP(NeoBer1700!L$1,tbl_Neo_OpzoektabelKV,$C60,FALSE),0)</f>
        <v>0</v>
      </c>
      <c r="M60" s="651">
        <f>IF($B60&gt;1,($K60)*$K$49*HLOOKUP(NeoBer1700!M$1,tbl_Neo_OpzoektabelKV,$C60,FALSE),0)</f>
        <v>0</v>
      </c>
      <c r="N60" s="651">
        <f>IF($B60&gt;1,($K60)*$K$49*HLOOKUP(NeoBer1700!N$1,tbl_Neo_OpzoektabelKV,$C60,FALSE),0)</f>
        <v>0</v>
      </c>
      <c r="O60" s="651">
        <f>IF($B60&gt;1,($K60)*$K$49*HLOOKUP(NeoBer1700!O$1,tbl_Neo_OpzoektabelKV,$C60,FALSE),0)</f>
        <v>0</v>
      </c>
      <c r="P60" s="651">
        <f>IF($B60&gt;1,($K60)*$K$49*HLOOKUP(NeoBer1700!P$1,tbl_Neo_OpzoektabelKV,$C60,FALSE),0)</f>
        <v>0</v>
      </c>
      <c r="Q60" s="651">
        <f>IF($B60&gt;1,($K60)*$K$49*HLOOKUP(NeoBer1700!Q$1,tbl_Neo_OpzoektabelKV,$C60,FALSE),0)</f>
        <v>0</v>
      </c>
      <c r="R60" s="651">
        <f>IF($B60&gt;1,($K60)*$K$49*HLOOKUP(NeoBer1700!R$1,tbl_Neo_OpzoektabelKV,$C60,FALSE),0)</f>
        <v>0</v>
      </c>
      <c r="S60" s="651">
        <f>IF($B60&gt;1,($K60)*$K$49*HLOOKUP(NeoBer1700!S$1,tbl_Neo_OpzoektabelKV,$C60,FALSE),0)</f>
        <v>0</v>
      </c>
      <c r="T60" s="651">
        <f>IF($B60&gt;1,($K60)*$K$49*HLOOKUP(NeoBer1700!T$1,tbl_Neo_OpzoektabelKV,$C60,FALSE),0)</f>
        <v>0</v>
      </c>
      <c r="U60" s="651">
        <f>IF($B60&gt;1,($K60)*$K$49*HLOOKUP(NeoBer1700!U$1,tbl_Neo_OpzoektabelKV,$C60,FALSE),0)</f>
        <v>0</v>
      </c>
      <c r="V60" s="651">
        <f>IF($B60&gt;1,($K60)*$K$49*HLOOKUP(NeoBer1700!V$1,tbl_Neo_OpzoektabelKV,$C60,FALSE),0)</f>
        <v>0</v>
      </c>
    </row>
    <row r="61" spans="1:22" x14ac:dyDescent="0.35">
      <c r="A61" s="660" t="s">
        <v>980</v>
      </c>
      <c r="B61" s="660">
        <v>1</v>
      </c>
      <c r="C61" s="660">
        <f>_Neo_InfB_Toevoeging_8+1</f>
        <v>6</v>
      </c>
      <c r="J61" s="660">
        <v>1</v>
      </c>
      <c r="K61" s="816">
        <f>INDEX(tbl_Neo_NutrToevWaard,NeoBer1700!J61)</f>
        <v>0</v>
      </c>
      <c r="L61" s="651">
        <f>IF($B61&gt;1,($K61)*$K$49*HLOOKUP(NeoBer1700!L$1,tbl_Neo_OpzoektabelKV,$C61,FALSE),0)</f>
        <v>0</v>
      </c>
      <c r="M61" s="651">
        <f>IF($B61&gt;1,($K61)*$K$49*HLOOKUP(NeoBer1700!M$1,tbl_Neo_OpzoektabelKV,$C61,FALSE),0)</f>
        <v>0</v>
      </c>
      <c r="N61" s="651">
        <f>IF($B61&gt;1,($K61)*$K$49*HLOOKUP(NeoBer1700!N$1,tbl_Neo_OpzoektabelKV,$C61,FALSE),0)</f>
        <v>0</v>
      </c>
      <c r="O61" s="651">
        <f>IF($B61&gt;1,($K61)*$K$49*HLOOKUP(NeoBer1700!O$1,tbl_Neo_OpzoektabelKV,$C61,FALSE),0)</f>
        <v>0</v>
      </c>
      <c r="P61" s="651">
        <f>IF($B61&gt;1,($K61)*$K$49*HLOOKUP(NeoBer1700!P$1,tbl_Neo_OpzoektabelKV,$C61,FALSE),0)</f>
        <v>0</v>
      </c>
      <c r="Q61" s="651">
        <f>IF($B61&gt;1,($K61)*$K$49*HLOOKUP(NeoBer1700!Q$1,tbl_Neo_OpzoektabelKV,$C61,FALSE),0)</f>
        <v>0</v>
      </c>
      <c r="R61" s="651">
        <f>IF($B61&gt;1,($K61)*$K$49*HLOOKUP(NeoBer1700!R$1,tbl_Neo_OpzoektabelKV,$C61,FALSE),0)</f>
        <v>0</v>
      </c>
      <c r="S61" s="651">
        <f>IF($B61&gt;1,($K61)*$K$49*HLOOKUP(NeoBer1700!S$1,tbl_Neo_OpzoektabelKV,$C61,FALSE),0)</f>
        <v>0</v>
      </c>
      <c r="T61" s="651">
        <f>IF($B61&gt;1,($K61)*$K$49*HLOOKUP(NeoBer1700!T$1,tbl_Neo_OpzoektabelKV,$C61,FALSE),0)</f>
        <v>0</v>
      </c>
      <c r="U61" s="651">
        <f>IF($B61&gt;1,($K61)*$K$49*HLOOKUP(NeoBer1700!U$1,tbl_Neo_OpzoektabelKV,$C61,FALSE),0)</f>
        <v>0</v>
      </c>
      <c r="V61" s="651">
        <f>IF($B61&gt;1,($K61)*$K$49*HLOOKUP(NeoBer1700!V$1,tbl_Neo_OpzoektabelKV,$C61,FALSE),0)</f>
        <v>0</v>
      </c>
    </row>
    <row r="62" spans="1:22" x14ac:dyDescent="0.35">
      <c r="A62" s="660" t="s">
        <v>1072</v>
      </c>
      <c r="L62" s="651">
        <f>SUM(L58:L61)</f>
        <v>0</v>
      </c>
      <c r="M62" s="651">
        <f t="shared" ref="M62:V62" si="19">SUM(M58:M61)</f>
        <v>0</v>
      </c>
      <c r="N62" s="651">
        <f t="shared" si="19"/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</row>
    <row r="65" spans="1:12" x14ac:dyDescent="0.35">
      <c r="A65" s="660" t="s">
        <v>616</v>
      </c>
    </row>
    <row r="70" spans="1:12" ht="13.2" x14ac:dyDescent="0.4">
      <c r="B70" s="285"/>
      <c r="C70" s="279"/>
      <c r="D70" s="279"/>
      <c r="E70" s="279"/>
      <c r="F70" s="286"/>
      <c r="G70" s="279"/>
      <c r="H70" s="279"/>
    </row>
    <row r="71" spans="1:12" x14ac:dyDescent="0.35">
      <c r="L71" s="639"/>
    </row>
    <row r="73" spans="1:12" x14ac:dyDescent="0.35">
      <c r="A73" s="660" t="s">
        <v>948</v>
      </c>
      <c r="B73" s="815" t="str">
        <f ca="1">IF(NeoAfspr1700!E18=0,"",CONCATENATE(NeoAfspr1700!B18,": ",NeoAfspr1700!E18," ",NeoAfspr1700!F18," = "&amp;NeoBer1700!K47&amp;" ml"))</f>
        <v/>
      </c>
    </row>
    <row r="74" spans="1:12" x14ac:dyDescent="0.35">
      <c r="A74" s="660" t="s">
        <v>949</v>
      </c>
      <c r="B74" s="815" t="str">
        <f>IF(INDEX(tbl_Neo_Pos,NeoBer1700!D14,1)=0,"",CONCATENATE(NeoAfspr1700!H21," ",INDEX(tbl_Neo_Pos,NeoBer1700!D14,1)))</f>
        <v/>
      </c>
    </row>
    <row r="75" spans="1:12" x14ac:dyDescent="0.35">
      <c r="A75" s="660" t="s">
        <v>950</v>
      </c>
      <c r="B75" s="815" t="str">
        <f>IF(INDEX(tbl_Neo_Pos,NeoBer1700!D14,1)=0,"",CONCATENATE("Hoeveelheid 1:  ",NeoAfspr1700!E21," ",NeoAfspr1700!F21," ",NeoAfspr1700!G21))</f>
        <v/>
      </c>
    </row>
    <row r="76" spans="1:12" x14ac:dyDescent="0.35">
      <c r="A76" s="660" t="s">
        <v>951</v>
      </c>
      <c r="B76" s="815" t="str">
        <f>IF(INDEX(tbl_Neo_Pos,NeoBer1700!D14,1)=0,"",CONCATENATE("Hoeveelheid 2:  ",NeoAfspr1700!E22," ",NeoAfspr1700!F22," ",NeoAfspr1700!G22))</f>
        <v/>
      </c>
    </row>
    <row r="77" spans="1:12" x14ac:dyDescent="0.35">
      <c r="A77" s="660" t="s">
        <v>952</v>
      </c>
      <c r="B77" s="815" t="str">
        <f>IF(AND(INDEX(tbl_Neo_LijstVoeding,_Neo_1700_Voeding,14)="MM",Var_Neo_Percentage1700_0 &gt; 0), CONCATENATE("Toev MM: BMF ",Var_Neo_Percentage1700_0," %"),"")</f>
        <v/>
      </c>
    </row>
    <row r="78" spans="1:12" x14ac:dyDescent="0.35">
      <c r="A78" s="660" t="s">
        <v>953</v>
      </c>
      <c r="B78" s="815" t="str">
        <f>IF(AND(INDEX(tbl_Neo_LijstVoeding,_Neo_1700_Voeding,14)="MM",_Neo_1700_Toevoeging_1 &gt; 1,Var_Neo_Percentage1700_1 &gt; 0), CONCATENATE("Toev MM: ",INDEX(tbl_Neo_NutrMMToev,_Neo_1700_Toevoeging_1,1)," ",Var_Neo_Percentage1700_1," %"),"")</f>
        <v/>
      </c>
    </row>
    <row r="79" spans="1:12" x14ac:dyDescent="0.35">
      <c r="A79" s="660" t="s">
        <v>954</v>
      </c>
      <c r="B79" s="815" t="str">
        <f>IF(AND(INDEX(tbl_Neo_LijstVoeding,_Neo_1700_Voeding,14)="MM",_Neo_1700_Toevoeging_2 &gt; 1,Var_Neo_Percentage1700_2 &gt; 0), CONCATENATE("Toev MM: ",INDEX(tbl_Neo_NutrMMToev,_Neo_1700_Toevoeging_2,1)," ",Var_Neo_Percentage1700_2," %"),"")</f>
        <v/>
      </c>
    </row>
    <row r="80" spans="1:12" x14ac:dyDescent="0.35">
      <c r="A80" s="660" t="s">
        <v>955</v>
      </c>
      <c r="B80" s="815" t="str">
        <f>IF(AND(INDEX(tbl_Neo_LijstVoeding,_Neo_1700_Voeding,14)="MM",_Neo_1700_Toevoeging_3 &gt; 1,Var_Neo_Percentage1700_3 &gt; 0), CONCATENATE("Toev MM: ",INDEX(tbl_Neo_NutrMMToev,_Neo_1700_Toevoeging_3,1)," ",Var_Neo_Percentage1700_3," %"),"")</f>
        <v/>
      </c>
    </row>
    <row r="81" spans="1:2" x14ac:dyDescent="0.35">
      <c r="A81" s="660" t="s">
        <v>956</v>
      </c>
      <c r="B81" s="815" t="str">
        <f>IF(AND(INDEX(tbl_Neo_LijstVoeding,_Neo_1700_Voeding,14)="MM",_Neo_1700_Toevoeging_4 &gt; 1,Var_Neo_Percentage1700_4 &gt; 0), CONCATENATE("Toev MM: ",INDEX(tbl_Neo_NutrMMToev,_Neo_1700_Toevoeging_4,1)," ",Var_Neo_Percentage1700_4," %"),"")</f>
        <v/>
      </c>
    </row>
    <row r="82" spans="1:2" x14ac:dyDescent="0.35">
      <c r="A82" s="660" t="s">
        <v>957</v>
      </c>
      <c r="B82" s="815" t="str">
        <f>IF(AND(INDEX(tbl_Neo_LijstVoeding,_Neo_1700_Voeding,14)="KV",_Neo_1700_Toevoeging_5 &gt; 1,Var_Neo_Percentage1700_5 &gt; 0), CONCATENATE("Toev KV: ",INDEX(tbl_Neo_NutrKunstToev,_Neo_1700_Toevoeging_5,1)," ",Var_Neo_Percentage1700_5," %"),"")</f>
        <v/>
      </c>
    </row>
    <row r="83" spans="1:2" x14ac:dyDescent="0.35">
      <c r="A83" s="660" t="s">
        <v>1123</v>
      </c>
      <c r="B83" s="815" t="str">
        <f>IF(AND(INDEX(tbl_Neo_LijstVoeding,_Neo_1700_Voeding,14)="KV",_Neo_1700_Toevoeging_6 &gt; 1,Var_Neo_Percentage1700_6 &gt; 0), CONCATENATE("Toev KV: ",INDEX(tbl_Neo_NutrKunstToev,_Neo_1700_Toevoeging_6,1)," ",Var_Neo_Percentage1700_6," %"),"")</f>
        <v/>
      </c>
    </row>
    <row r="84" spans="1:2" x14ac:dyDescent="0.35">
      <c r="A84" s="660" t="s">
        <v>1124</v>
      </c>
      <c r="B84" s="815" t="str">
        <f>IF(AND(INDEX(tbl_Neo_LijstVoeding,_Neo_1700_Voeding,14)="KV",_Neo_1700_Toevoeging_7 &gt; 1,Var_Neo_Percentage1700_7 &gt; 0), CONCATENATE("Toev KV: ",INDEX(tbl_Neo_NutrKunstToev,_Neo_1700_Toevoeging_7,1)," ",Var_Neo_Percentage1700_7," %"),"")</f>
        <v/>
      </c>
    </row>
    <row r="85" spans="1:2" x14ac:dyDescent="0.35">
      <c r="A85" s="660" t="s">
        <v>1125</v>
      </c>
      <c r="B85" s="815" t="str">
        <f>IF(AND(INDEX(tbl_Neo_LijstVoeding,_Neo_1700_Voeding,14)="KV",_Neo_1700_Toevoeging_8 &gt; 1,Var_Neo_Percentage1700_8 &gt; 0), CONCATENATE("Toev KV: ",INDEX(tbl_Neo_NutrKunstToev,_Neo_1700_Toevoeging_8,1)," ",Var_Neo_Percentage1700_8," %"),"")</f>
        <v/>
      </c>
    </row>
    <row r="86" spans="1:2" x14ac:dyDescent="0.35">
      <c r="A86" s="660" t="s">
        <v>1126</v>
      </c>
      <c r="B86" s="815" t="str">
        <f ca="1">IF(NeoAfspr1700!E28&gt;0,CONCATENATE(NeoAfspr1700!B28," ",NeoAfspr1700!E28," ",NeoAfspr1700!F28),"")</f>
        <v/>
      </c>
    </row>
    <row r="87" spans="1:2" x14ac:dyDescent="0.35">
      <c r="A87" s="660" t="s">
        <v>1127</v>
      </c>
      <c r="B87" s="815" t="str">
        <f>CONCATENATE(NeoAfspr1700!B19,": ",IF(NeoBer1700!B15=1,"Ja","Nee"))</f>
        <v>Fototherapie: Nee</v>
      </c>
    </row>
    <row r="90" spans="1:2" x14ac:dyDescent="0.35">
      <c r="A90" s="518" t="s">
        <v>1163</v>
      </c>
      <c r="B90" s="816" t="str">
        <f>IF(NeoBer1700!B20&gt;1,INDEX(tbl_Neo_MedIV,NeoBer1700!B20, 1)&amp;" "&amp;NeoAfspr1700!C32&amp;" "&amp;NeoAfspr1700!D32&amp;" "&amp; INDEX(tbl_Neo_Opl,NeoBer1700!E20,1)&amp;" " &amp; NeoAfspr1700!G32&amp;" (="&amp;NeoAfspr1700!H32&amp;" "&amp;NeoAfspr1700!I32&amp;"), inlooptijd: "&amp;NeoAfspr1700!N32,"")</f>
        <v/>
      </c>
    </row>
    <row r="91" spans="1:2" x14ac:dyDescent="0.35">
      <c r="A91" s="518" t="s">
        <v>1163</v>
      </c>
      <c r="B91" s="816" t="str">
        <f>IF(NeoBer1700!B21&gt;1,INDEX(tbl_Neo_MedIV,NeoBer1700!B21, 1)&amp;" "&amp;NeoAfspr1700!C33&amp;" "&amp;NeoAfspr1700!D33&amp;" "&amp; INDEX(tbl_Neo_Opl,NeoBer1700!E21,1)&amp;" " &amp; NeoAfspr1700!G33&amp;" (="&amp;NeoAfspr1700!H33&amp;" "&amp;NeoAfspr1700!I33&amp;"), inlooptijd: "&amp;NeoAfspr1700!N33,"")</f>
        <v/>
      </c>
    </row>
    <row r="92" spans="1:2" x14ac:dyDescent="0.35">
      <c r="A92" s="518" t="s">
        <v>1163</v>
      </c>
      <c r="B92" s="816" t="str">
        <f>IF(NeoBer1700!B22&gt;1,INDEX(tbl_Neo_MedIV,NeoBer1700!B22, 1)&amp;" "&amp;NeoAfspr1700!C34&amp;" "&amp;NeoAfspr1700!D34&amp;" "&amp; INDEX(tbl_Neo_Opl,NeoBer1700!E22,1)&amp;" " &amp; NeoAfspr1700!G34&amp;" (="&amp;NeoAfspr1700!H34&amp;" "&amp;NeoAfspr1700!I34&amp;"), inlooptijd: "&amp;NeoAfspr1700!N34,"")</f>
        <v/>
      </c>
    </row>
    <row r="93" spans="1:2" x14ac:dyDescent="0.35">
      <c r="A93" s="518" t="s">
        <v>1163</v>
      </c>
      <c r="B93" s="816" t="str">
        <f>IF(NeoBer1700!B23&gt;1,INDEX(tbl_Neo_MedIV,NeoBer1700!B23, 1)&amp;" "&amp;NeoAfspr1700!C35&amp;" "&amp;NeoAfspr1700!D35&amp;" "&amp; INDEX(tbl_Neo_Opl,NeoBer1700!E23,1)&amp;" " &amp; NeoAfspr1700!G35&amp;" (="&amp;NeoAfspr1700!H35&amp;" "&amp;NeoAfspr1700!I35&amp;"), inlooptijd: "&amp;NeoAfspr1700!N35,"")</f>
        <v/>
      </c>
    </row>
    <row r="94" spans="1:2" x14ac:dyDescent="0.35">
      <c r="A94" s="518" t="s">
        <v>1163</v>
      </c>
      <c r="B94" s="816" t="str">
        <f>IF(NeoBer1700!B24&gt;1,INDEX(tbl_Neo_MedIV,NeoBer1700!B24, 1)&amp;" "&amp;NeoAfspr1700!C36&amp;" "&amp;NeoAfspr1700!D36&amp;" "&amp; INDEX(tbl_Neo_Opl,NeoBer1700!E24,1)&amp;" " &amp; NeoAfspr1700!G36&amp;" (="&amp;NeoAfspr1700!H36&amp;" "&amp;NeoAfspr1700!I36&amp;"), inlooptijd: "&amp;NeoAfspr1700!N36,"")</f>
        <v/>
      </c>
    </row>
    <row r="95" spans="1:2" x14ac:dyDescent="0.35">
      <c r="A95" s="518" t="s">
        <v>1163</v>
      </c>
      <c r="B95" s="816" t="str">
        <f>IF(NeoBer1700!B25&gt;1,INDEX(tbl_Neo_MedIV,NeoBer1700!B25, 1)&amp;" "&amp;NeoAfspr1700!C37&amp;" "&amp;NeoAfspr1700!D37&amp;" "&amp; INDEX(tbl_Neo_Opl,NeoBer1700!E25,1)&amp;" " &amp; NeoAfspr1700!G37&amp;" (="&amp;NeoAfspr1700!H37&amp;" "&amp;NeoAfspr1700!I37&amp;"), inlooptijd: "&amp;NeoAfspr1700!N37,"")</f>
        <v/>
      </c>
    </row>
    <row r="96" spans="1:2" x14ac:dyDescent="0.35">
      <c r="A96" s="518" t="s">
        <v>1163</v>
      </c>
      <c r="B96" s="816" t="str">
        <f>IF(NeoBer1700!B26&gt;1,INDEX(tbl_Neo_MedIV,NeoBer1700!B26, 1)&amp;" "&amp;NeoAfspr1700!C38&amp;" "&amp;NeoAfspr1700!D38&amp;" "&amp; INDEX(tbl_Neo_Opl,NeoBer1700!E26,1)&amp;" " &amp; NeoAfspr1700!G38&amp;" (="&amp;NeoAfspr1700!H38&amp;" "&amp;NeoAfspr1700!I38&amp;"), inlooptijd: "&amp;NeoAfspr1700!N38,"")</f>
        <v/>
      </c>
    </row>
    <row r="97" spans="1:2" x14ac:dyDescent="0.35">
      <c r="A97" s="518" t="s">
        <v>1163</v>
      </c>
      <c r="B97" s="816" t="str">
        <f>IF(NeoBer1700!B27&gt;1,INDEX(tbl_Neo_MedIV,NeoBer1700!B27, 1)&amp;" "&amp;NeoAfspr1700!C39&amp;" "&amp;NeoAfspr1700!D39&amp;" "&amp; INDEX(tbl_Neo_Opl,NeoBer1700!E27,1)&amp;" " &amp; NeoAfspr1700!G39&amp;" (="&amp;NeoAfspr1700!H39&amp;" "&amp;NeoAfspr1700!I39&amp;"), inlooptijd: "&amp;NeoAfspr1700!N39,"")</f>
        <v/>
      </c>
    </row>
    <row r="98" spans="1:2" x14ac:dyDescent="0.35">
      <c r="A98" s="518" t="s">
        <v>1163</v>
      </c>
      <c r="B98" s="816" t="str">
        <f>IF(NeoBer1700!B28&gt;1,INDEX(tbl_Neo_MedIV,NeoBer1700!B28, 1)&amp;" "&amp;NeoAfspr1700!C40&amp;" "&amp;NeoAfspr1700!D40&amp;" "&amp; INDEX(tbl_Neo_Opl,NeoBer1700!E28,1)&amp;" " &amp; NeoAfspr1700!G40&amp;" (="&amp;NeoAfspr1700!H40&amp;" "&amp;NeoAfspr1700!I40&amp;"), inlooptijd: "&amp;NeoAfspr1700!N40,"")</f>
        <v/>
      </c>
    </row>
    <row r="99" spans="1:2" x14ac:dyDescent="0.35">
      <c r="A99" s="518" t="s">
        <v>1163</v>
      </c>
      <c r="B99" s="816" t="str">
        <f>IF(NeoBer1700!E29&gt;1, NeoAfspr1700!B42&amp;": "&amp; INDEX(tbl_Neo_Opl,NeoBer1700!$E29,1)&amp;" " &amp; NeoAfspr1700!G42,"")</f>
        <v/>
      </c>
    </row>
    <row r="100" spans="1:2" x14ac:dyDescent="0.35">
      <c r="A100" s="518" t="s">
        <v>1163</v>
      </c>
      <c r="B100" s="816" t="str">
        <f>IF(NeoBer1700!E30&gt;1, NeoAfspr1700!B43&amp;": "&amp; INDEX(tbl_Neo_Opl,NeoBer1700!$E30,1)&amp;" " &amp; NeoAfspr1700!G43,"")</f>
        <v/>
      </c>
    </row>
    <row r="101" spans="1:2" x14ac:dyDescent="0.35">
      <c r="A101" s="518" t="s">
        <v>1163</v>
      </c>
      <c r="B101" s="816" t="str">
        <f>IF(NeoBer1700!E31&gt;1, NeoAfspr1700!B44&amp;": "&amp; INDEX(tbl_Neo_Opl,NeoBer1700!$E31,1)&amp;" " &amp; NeoAfspr1700!G44,"")</f>
        <v/>
      </c>
    </row>
    <row r="102" spans="1:2" x14ac:dyDescent="0.35">
      <c r="A102" s="518" t="s">
        <v>1163</v>
      </c>
      <c r="B102" s="816" t="str">
        <f>IF(NeoBer1700!B32="","",NeoBer1700!B32)</f>
        <v/>
      </c>
    </row>
    <row r="103" spans="1:2" x14ac:dyDescent="0.35">
      <c r="A103" s="518" t="s">
        <v>1163</v>
      </c>
      <c r="B103" s="816" t="str">
        <f>IF(NeoBer1700!B33="","",NeoBer1700!B33)</f>
        <v/>
      </c>
    </row>
    <row r="104" spans="1:2" x14ac:dyDescent="0.35">
      <c r="A104" s="518" t="s">
        <v>1163</v>
      </c>
      <c r="B104" s="816" t="str">
        <f ca="1">IF(NeoBer1700!C35&lt;&gt;0,CONCATENATE("Intralipid 20% (incl.vitintra) ",ROUNDUP(NeoBer1700!C35/24,1)," ml/uur"),"")</f>
        <v/>
      </c>
    </row>
    <row r="105" spans="1:2" x14ac:dyDescent="0.35">
      <c r="A105" s="518" t="s">
        <v>1163</v>
      </c>
      <c r="B105" s="816" t="str">
        <f ca="1">IF(Var_Neo_WerkbriefTPNStand&lt;&gt;"",CONCATENATE("TPN: ",Var_Neo_WerkbriefTPNStand, " ml/uur"),"")</f>
        <v/>
      </c>
    </row>
    <row r="106" spans="1:2" x14ac:dyDescent="0.35">
      <c r="A106" s="518" t="s">
        <v>1163</v>
      </c>
      <c r="B106" s="816" t="str">
        <f ca="1">IF(Var_Neo_WerkbriefTPNStand&lt;&gt;"",CONCATENATE("TPN Totaal: ",Var_Neo_WerkbriefTPNTotaalGeheel,",", ROUND(Var_Neo_WerkbriefTPNTotaalBreuk,0), " ml"),"")</f>
        <v/>
      </c>
    </row>
    <row r="107" spans="1:2" x14ac:dyDescent="0.35">
      <c r="A107" s="518" t="s">
        <v>1163</v>
      </c>
      <c r="B107" s="816" t="str">
        <f ca="1">IF(OR(Var_Neo_WerkbriefTPNNaClGeheel&lt;&gt;"",Var_Neo_WerkbriefTPNNaClBreuk&lt;&gt;""),CONCATENATE(Var_Neo_WerkbriefTPNNaCLTekst," ",Var_Neo_WerkbriefTPNNaClGeheel,",", Var_Neo_WerkbriefTPNNaClBreuk, " ml"),"")</f>
        <v/>
      </c>
    </row>
    <row r="108" spans="1:2" x14ac:dyDescent="0.35">
      <c r="A108" s="518" t="s">
        <v>1163</v>
      </c>
      <c r="B108" s="816" t="str">
        <f ca="1">IF(OR(Var_Neo_WerkbriefTPNKacetaatGeheel&lt;&gt;"",Var_Neo_WerkbriefTPNKacetaatBreuk&lt;&gt;""),CONCATENATE(Var_Neo_WerkbriefTPNKacetaatTekst," ",Var_Neo_WerkbriefTPNKacetaatGeheel,",", Var_Neo_WerkbriefTPNKacetaatBreuk, " ml"),"")</f>
        <v/>
      </c>
    </row>
    <row r="109" spans="1:2" x14ac:dyDescent="0.35">
      <c r="A109" s="518" t="s">
        <v>1163</v>
      </c>
      <c r="B109" s="816" t="str">
        <f ca="1">IF(OR(Var_Neo_WerkbriefTPNCaClGeheel&lt;&gt;"",Var_Neo_WerkbriefTPNCaClBreuk&lt;&gt;""),CONCATENATE(Var_Neo_WerkbriefTPNCaClTekst," ",Var_Neo_WerkbriefTPNCaClGeheel,",", Var_Neo_WerkbriefTPNCaClBreuk, " ml"),"")</f>
        <v/>
      </c>
    </row>
    <row r="110" spans="1:2" x14ac:dyDescent="0.35">
      <c r="A110" s="518" t="s">
        <v>1163</v>
      </c>
      <c r="B110" s="816" t="str">
        <f ca="1">IF(OR(Var_Neo_WerkbriefTPNMgClGeheel&lt;&gt;"",Var_Neo_WerkbriefTPNMgClBreuk&lt;&gt;""),CONCATENATE(Var_Neo_WerkbriefTPNMgClTekst," ",Var_Neo_WerkbriefTPNMgClGeheel,",", Var_Neo_WerkbriefTPNMgClBreuk, " ml"),"")</f>
        <v/>
      </c>
    </row>
    <row r="111" spans="1:2" x14ac:dyDescent="0.35">
      <c r="A111" s="518" t="s">
        <v>1163</v>
      </c>
      <c r="B111" s="816" t="str">
        <f ca="1">IF(OR(Var_Neo_WerkbriefTPNSoluvitGeheel&lt;&gt;"",Var_Neo_WerkbriefTPNSoluvitBreuk&lt;&gt;""),CONCATENATE(Var_Neo_WerkbriefTPNSoluvitTekst," ",Var_Neo_WerkbriefTPNSoluvitGeheel,",", Var_Neo_WerkbriefTPNSoluvitBreuk, " ml"),"")</f>
        <v/>
      </c>
    </row>
    <row r="112" spans="1:2" x14ac:dyDescent="0.35">
      <c r="A112" s="518" t="s">
        <v>1163</v>
      </c>
      <c r="B112" s="816" t="str">
        <f ca="1">IF(OR(Var_Neo_WerkbriefTPNPrimeneGeheel&lt;&gt;"",Var_Neo_WerkbriefTPNPrimeneBreuk&lt;&gt;""),CONCATENATE(Var_Neo_WerkbriefTPNPrimeneTekst," ",Var_Neo_WerkbriefTPNPrimeneGeheel,",", Var_Neo_WerkbriefTPNPrimeneBreuk, " ml"),"")</f>
        <v/>
      </c>
    </row>
    <row r="113" spans="1:2" x14ac:dyDescent="0.35">
      <c r="A113" s="518" t="s">
        <v>1163</v>
      </c>
      <c r="B113" s="816" t="str">
        <f>IF(OR(Var_Neo_WerkbriefTPNNICUmixGeheel&lt;&gt;"",Var_Neo_WerkbriefTPNNICUmixBreuk&lt;&gt;""),CONCATENATE(Var_Neo_WerkbriefTPNNICUmixTekst," ",Var_Neo_WerkbriefTPNNICUmixGeheel,",", Var_Neo_WerkbriefTPNNICUmixBreuk, " ml"),"")</f>
        <v/>
      </c>
    </row>
    <row r="114" spans="1:2" x14ac:dyDescent="0.35">
      <c r="A114" s="518" t="s">
        <v>1163</v>
      </c>
      <c r="B114" s="816" t="str">
        <f>IF(OR(Var_Neo_WerkbriefTPNSamBGeheel&lt;&gt;"",Var_Neo_WerkbriefTPNSamBBreuk&lt;&gt;""),CONCATENATE(Var_Neo_WerkbriefTPNSamBTekst," ",Var_Neo_WerkbriefTPNSamBGeheel,",", Var_Neo_WerkbriefTPNSamBBreuk, " ml"),"")</f>
        <v/>
      </c>
    </row>
    <row r="115" spans="1:2" x14ac:dyDescent="0.35">
      <c r="A115" s="518" t="s">
        <v>1163</v>
      </c>
      <c r="B115" s="816" t="str">
        <f>IF(OR(Var_Neo_WerkbriefTPNGlucGeheel&lt;&gt;"",Var_Neo_WerkbriefTPNGlucBreuk&lt;&gt;""),CONCATENATE(Var_Neo_WerkbriefTPNGlucTekst," ",Var_Neo_WerkbriefTPNGlucGeheel,",", ROUND(Var_Neo_WerkbriefTPNGlucBreuk,2), " ml"),"")</f>
        <v/>
      </c>
    </row>
    <row r="116" spans="1:2" x14ac:dyDescent="0.35">
      <c r="A116" s="518" t="s">
        <v>1163</v>
      </c>
      <c r="B116" s="816" t="str">
        <f>IF(Var_Neo_WerkbriefIntravasaleToegangStand&lt;&gt;"",CONCATENATE(Var_Neo_WerkbriefIntravasaleToegangTekst," ",Var_Neo_WerkbriefIntravasaleToegangStand, " ml/uur"),"")</f>
        <v/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autoPageBreaks="0"/>
  </sheetPr>
  <dimension ref="A1:P60"/>
  <sheetViews>
    <sheetView zoomScaleNormal="100" workbookViewId="0">
      <selection activeCell="F14" sqref="F14"/>
    </sheetView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566</v>
      </c>
      <c r="L1" s="321" t="s">
        <v>551</v>
      </c>
      <c r="M1" s="322" t="str">
        <f>__1_Bed</f>
        <v>Unit 1.2</v>
      </c>
    </row>
    <row r="2" spans="1:16" ht="13.2" x14ac:dyDescent="0.4">
      <c r="A2" s="321" t="s">
        <v>567</v>
      </c>
      <c r="C2" s="323" t="str">
        <f>__3_VoorNaam&amp;" "&amp;__2_AchterNaam</f>
        <v>Test Test</v>
      </c>
      <c r="G2" s="321" t="s">
        <v>568</v>
      </c>
      <c r="I2" s="934">
        <f ca="1">TODAY()</f>
        <v>42736</v>
      </c>
      <c r="J2" s="934"/>
      <c r="K2" s="934"/>
      <c r="L2" s="321" t="s">
        <v>569</v>
      </c>
      <c r="M2" s="935">
        <f ca="1">NOW()</f>
        <v>42736.919156597221</v>
      </c>
      <c r="N2" s="935"/>
    </row>
    <row r="3" spans="1:16" ht="13.2" x14ac:dyDescent="0.4">
      <c r="A3" s="321" t="s">
        <v>570</v>
      </c>
      <c r="C3" s="323">
        <f>(_Pat_Gewicht/10)*1000</f>
        <v>10000</v>
      </c>
      <c r="D3" s="321" t="s">
        <v>31</v>
      </c>
      <c r="I3" s="324"/>
      <c r="J3" s="324"/>
      <c r="K3" s="324"/>
      <c r="M3" s="325"/>
      <c r="N3" s="325"/>
    </row>
    <row r="4" spans="1:16" ht="13.2" x14ac:dyDescent="0.4">
      <c r="G4" s="321" t="s">
        <v>571</v>
      </c>
      <c r="I4" s="323" t="str">
        <f>IF(_Neo_InfB_Arts&gt;0,_Neo_InfB_Arts,"")</f>
        <v/>
      </c>
      <c r="L4" s="321" t="s">
        <v>572</v>
      </c>
      <c r="M4" s="326"/>
      <c r="N4" s="326"/>
      <c r="O4" s="326"/>
      <c r="P4" s="326"/>
    </row>
    <row r="5" spans="1:16" ht="24.05" customHeight="1" x14ac:dyDescent="0.4">
      <c r="A5" s="327" t="s">
        <v>191</v>
      </c>
      <c r="B5" s="328"/>
      <c r="C5" s="329" t="s">
        <v>573</v>
      </c>
      <c r="D5" s="329"/>
      <c r="E5" s="329"/>
      <c r="F5" s="329"/>
      <c r="G5" s="329"/>
      <c r="H5" s="330">
        <f ca="1">NeoAfspr1700!E28</f>
        <v>0</v>
      </c>
      <c r="I5" s="329" t="s">
        <v>177</v>
      </c>
      <c r="J5" s="329"/>
      <c r="K5" s="329"/>
      <c r="L5" s="329"/>
      <c r="M5" s="936" t="s">
        <v>574</v>
      </c>
      <c r="N5" s="937"/>
      <c r="O5" s="331" t="s">
        <v>575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NeoAfspr1700!B30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IF(24*NeoBer1700!B18&gt;0,TRUNC(24*NeoBer1700!B18/10),"")</f>
        <v/>
      </c>
      <c r="N6" s="335" t="str">
        <f>IF(NeoBer1700!B18&gt;0,(24*NeoBer1700!B18/10-M6)*10,"")</f>
        <v/>
      </c>
      <c r="O6" s="331" t="str">
        <f>IF(NeoBer1700!J18,"extra","")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4.25" customHeight="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34</v>
      </c>
      <c r="I8" s="339"/>
      <c r="J8" s="339"/>
      <c r="K8" s="339"/>
      <c r="L8" s="340"/>
      <c r="M8" s="341" t="str">
        <f ca="1">IF(NeoBer1700!$K$37&gt;0,IF(_Neo_InfB_DagKeuze&lt;&gt;2,TRUNC(NeoBer1700!$C$37),0),"")</f>
        <v/>
      </c>
      <c r="N8" s="342" t="str">
        <f ca="1">IF(NeoBer1700!$K$37&gt;0,IF(_Neo_1700_DagKeuze&lt;&gt;2,(NeoBer1700!$C$37-M8)*100,0),"")</f>
        <v/>
      </c>
      <c r="O8" s="331"/>
      <c r="P8" s="332"/>
    </row>
    <row r="9" spans="1:16" ht="14.25" customHeight="1" x14ac:dyDescent="0.35">
      <c r="A9" s="343"/>
      <c r="B9" s="331"/>
      <c r="C9" s="327"/>
      <c r="D9" s="334"/>
      <c r="E9" s="334"/>
      <c r="F9" s="334"/>
      <c r="G9" s="334"/>
      <c r="H9" s="334" t="s">
        <v>576</v>
      </c>
      <c r="I9" s="334"/>
      <c r="J9" s="334"/>
      <c r="K9" s="334"/>
      <c r="L9" s="328"/>
      <c r="M9" s="344" t="str">
        <f ca="1">IF(NeoBer1700!$K$38&gt;0,IF(_Neo_1700_DagKeuze&lt;&gt;2,TRUNC(NeoBer1700!$C$38),0),"")</f>
        <v/>
      </c>
      <c r="N9" s="335" t="str">
        <f ca="1">IF(NeoBer1700!$K$38&gt;0,IF(_Neo_1700_DagKeuze&lt;&gt;2,(NeoBer1700!$C$38-M9)*100,0),"")</f>
        <v/>
      </c>
      <c r="O9" s="331"/>
      <c r="P9" s="332"/>
    </row>
    <row r="10" spans="1:16" ht="14.25" customHeight="1" x14ac:dyDescent="0.35">
      <c r="A10" s="343"/>
      <c r="B10" s="331"/>
      <c r="C10" s="338"/>
      <c r="D10" s="339"/>
      <c r="E10" s="339"/>
      <c r="F10" s="339"/>
      <c r="G10" s="339"/>
      <c r="H10" s="339" t="s">
        <v>453</v>
      </c>
      <c r="I10" s="339"/>
      <c r="J10" s="339"/>
      <c r="K10" s="339"/>
      <c r="L10" s="340"/>
      <c r="M10" s="341" t="str">
        <f ca="1">IF(NeoBer1700!$K$39&gt;0,TRUNC(NeoBer1700!$C$39),"")</f>
        <v/>
      </c>
      <c r="N10" s="342" t="str">
        <f ca="1">IF(NeoBer1700!$K$39&gt;0,IF(_Neo_1700_DagKeuze=1,NeoBer1700!$C$39-M10,0),"")</f>
        <v/>
      </c>
      <c r="O10" s="331"/>
      <c r="P10" s="332"/>
    </row>
    <row r="11" spans="1:16" ht="14.25" customHeight="1" x14ac:dyDescent="0.35">
      <c r="A11" s="343"/>
      <c r="B11" s="331"/>
      <c r="C11" s="327"/>
      <c r="D11" s="334"/>
      <c r="E11" s="334"/>
      <c r="F11" s="334"/>
      <c r="G11" s="334"/>
      <c r="H11" s="334" t="s">
        <v>454</v>
      </c>
      <c r="I11" s="334"/>
      <c r="J11" s="334"/>
      <c r="K11" s="334"/>
      <c r="L11" s="328"/>
      <c r="M11" s="344" t="str">
        <f ca="1">IF(NeoBer1700!$K$40&gt;0,TRUNC(NeoBer1700!$C$40),"")</f>
        <v/>
      </c>
      <c r="N11" s="335" t="str">
        <f ca="1">IF(NeoBer1700!$K$40&gt;0,IF(_Neo_1700_DagKeuze=1,(NeoBer1700!$C$40-M11)*100,0),"")</f>
        <v/>
      </c>
      <c r="O11" s="331"/>
      <c r="P11" s="332"/>
    </row>
    <row r="12" spans="1:16" ht="14.25" customHeight="1" x14ac:dyDescent="0.35">
      <c r="A12" s="343"/>
      <c r="B12" s="331"/>
      <c r="C12" s="338"/>
      <c r="D12" s="339"/>
      <c r="E12" s="339"/>
      <c r="F12" s="339"/>
      <c r="G12" s="339"/>
      <c r="H12" s="339" t="s">
        <v>217</v>
      </c>
      <c r="I12" s="339"/>
      <c r="J12" s="339"/>
      <c r="K12" s="339"/>
      <c r="L12" s="340"/>
      <c r="M12" s="341" t="str">
        <f ca="1">IF(NeoBer1700!$K$41&gt;0,TRUNC(NeoBer1700!$C$41),"")</f>
        <v/>
      </c>
      <c r="N12" s="342" t="str">
        <f ca="1">IF(NeoBer1700!$K$41&gt;0,IF(_Neo_1700_DagKeuze=1,(NeoBer1700!$C$41-M12)*100,0),"")</f>
        <v/>
      </c>
      <c r="O12" s="331"/>
      <c r="P12" s="332"/>
    </row>
    <row r="13" spans="1:16" ht="14.25" customHeight="1" x14ac:dyDescent="0.35">
      <c r="A13" s="343"/>
      <c r="B13" s="331"/>
      <c r="C13" s="327"/>
      <c r="D13" s="334"/>
      <c r="E13" s="334"/>
      <c r="F13" s="334"/>
      <c r="G13" s="334"/>
      <c r="H13" s="334" t="s">
        <v>577</v>
      </c>
      <c r="I13" s="334"/>
      <c r="J13" s="334"/>
      <c r="K13" s="334"/>
      <c r="L13" s="328"/>
      <c r="M13" s="344" t="str">
        <f ca="1">IF(NeoBer1700!$K$42&gt;0,TRUNC(NeoBer1700!$C$42),"")</f>
        <v/>
      </c>
      <c r="N13" s="335" t="str">
        <f ca="1">IF(NeoBer1700!$K$42&gt;0,IF(_Neo_1700_DagKeuze&lt;&gt;1,(NeoBer1700!$C$42-M13)*100,0),"")</f>
        <v/>
      </c>
      <c r="O13" s="331"/>
      <c r="P13" s="332"/>
    </row>
    <row r="14" spans="1:16" ht="14.25" customHeight="1" x14ac:dyDescent="0.35">
      <c r="A14" s="343"/>
      <c r="B14" s="331"/>
      <c r="C14" s="338"/>
      <c r="D14" s="339"/>
      <c r="E14" s="339"/>
      <c r="F14" s="339"/>
      <c r="G14" s="339"/>
      <c r="H14" s="339" t="s">
        <v>578</v>
      </c>
      <c r="I14" s="339"/>
      <c r="J14" s="339"/>
      <c r="K14" s="339"/>
      <c r="L14" s="340"/>
      <c r="M14" s="341" t="str">
        <f>IF(_Neo_InfB_DagKeuze=2,TRUNC(NeoBer1700!$C$43),"")</f>
        <v/>
      </c>
      <c r="N14" s="342" t="str">
        <f>IF(_Neo_InfB_DagKeuze=2,(NeoBer1700!$C$43-M14)*100,"")</f>
        <v/>
      </c>
      <c r="O14" s="331"/>
      <c r="P14" s="332"/>
    </row>
    <row r="15" spans="1:16" ht="14.25" customHeight="1" x14ac:dyDescent="0.35">
      <c r="A15" s="343"/>
      <c r="B15" s="331"/>
      <c r="C15" s="327"/>
      <c r="D15" s="334"/>
      <c r="E15" s="334"/>
      <c r="F15" s="334"/>
      <c r="G15" s="334"/>
      <c r="H15" s="334" t="s">
        <v>357</v>
      </c>
      <c r="I15" s="334"/>
      <c r="J15" s="334"/>
      <c r="K15" s="334"/>
      <c r="L15" s="328"/>
      <c r="M15" s="344" t="str">
        <f>IF(_Neo_InfB_DagKeuze=3,TRUNC(NeoBer1700!$C$44),"")</f>
        <v/>
      </c>
      <c r="N15" s="335" t="str">
        <f>IF(_Neo_InfB_DagKeuze=3,(NeoBer1700!$C$44-M15)*100,"")</f>
        <v/>
      </c>
      <c r="O15" s="331"/>
      <c r="P15" s="332"/>
    </row>
    <row r="16" spans="1:16" ht="14.25" customHeight="1" x14ac:dyDescent="0.35">
      <c r="A16" s="338"/>
      <c r="B16" s="340"/>
      <c r="C16" s="338"/>
      <c r="D16" s="339"/>
      <c r="E16" s="339"/>
      <c r="F16" s="339"/>
      <c r="G16" s="339"/>
      <c r="H16" s="339" t="str">
        <f>INDEX(tbl_Neo_Opl,NeoBer1700!D45+1,1)</f>
        <v>glucose 10%</v>
      </c>
      <c r="I16" s="339"/>
      <c r="J16" s="339"/>
      <c r="K16" s="339"/>
      <c r="L16" s="340"/>
      <c r="M16" s="341" t="str">
        <f>IF(NeoBer1700!$K$45&gt;0,TRUNC(NeoBer1700!$K$45),"")</f>
        <v/>
      </c>
      <c r="N16" s="342" t="str">
        <f>IF(NeoBer1700!$K$45&gt;0,(NeoBer1700!$K$45-M16)*100,"")</f>
        <v/>
      </c>
      <c r="O16" s="331"/>
      <c r="P16" s="332"/>
    </row>
    <row r="17" spans="1:16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124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str">
        <f ca="1">IF(SUM(M8:N16)&gt;0,(SUM(M8:M16)+SUM(N8:N16)/100-M17)*100,"")</f>
        <v/>
      </c>
      <c r="O17" s="331"/>
      <c r="P17" s="332"/>
    </row>
    <row r="18" spans="1:16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6" ht="14.25" customHeight="1" x14ac:dyDescent="0.35">
      <c r="A19" s="327" t="s">
        <v>191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6" ht="14.25" customHeight="1" x14ac:dyDescent="0.4">
      <c r="A20" s="351" t="str">
        <f>IF(F20&lt;&gt;"",_Neo_InfB_Stand_10/10,"")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IF(NeoBer1700!E29&gt;1,INDEX(tbl_Neo_Opl,NeoBer1700!E29,1),"")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IF(_Neo_InfB_VochtExtra_12,"extra","")</f>
        <v/>
      </c>
      <c r="P20" s="332"/>
    </row>
    <row r="21" spans="1:16" ht="14.25" customHeight="1" x14ac:dyDescent="0.4">
      <c r="A21" s="351" t="str">
        <f>IF(F21&lt;&gt;"",_Neo_InfB_Stand_11/10,"")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IF(NeoBer1700!E30&gt;1,INDEX(tbl_Neo_Opl,NeoBer1700!E30,1),"")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IF(_Neo_InfB_VochtExtra_13,"extra","")</f>
        <v/>
      </c>
      <c r="P21" s="332"/>
    </row>
    <row r="22" spans="1:16" ht="14.25" customHeight="1" x14ac:dyDescent="0.4">
      <c r="A22" s="351" t="str">
        <f>IF(F22&lt;&gt;"",_Neo_InfB_Stand_12/10,"")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IF(NeoBer1700!E31&gt;1,INDEX(tbl_Neo_Opl,NeoBer1700!E31,1),"")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IF(_Neo_InfB_VochtExtra_14,"extra","")</f>
        <v/>
      </c>
      <c r="P22" s="332"/>
    </row>
    <row r="23" spans="1:16" ht="14.25" customHeight="1" x14ac:dyDescent="0.4">
      <c r="A23" s="351" t="str">
        <f ca="1">IF(D23&lt;&gt;"",ROUNDUP(NeoBer1700!C35/24,1),"")</f>
        <v/>
      </c>
      <c r="B23" s="352"/>
      <c r="C23" s="353"/>
      <c r="D23" s="327" t="str">
        <f ca="1">IF(NeoBer1700!C35&lt;&gt;0,INDEX(tbl_Neo_IntralipidSmof,_Neo_1700_IntralipidSmof),"")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IF(D23&lt;&gt;"",TRUNC(NeoBer1700!C35),"")</f>
        <v/>
      </c>
      <c r="N23" s="335" t="str">
        <f ca="1">IF(D23&lt;&gt;"",(NeoBer1700!C35-M23)*100,"")</f>
        <v/>
      </c>
      <c r="O23" s="331"/>
      <c r="P23" s="332"/>
    </row>
    <row r="24" spans="1:16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6" ht="14.25" customHeight="1" x14ac:dyDescent="0.35">
      <c r="A25" s="327" t="s">
        <v>191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6" ht="14.25" customHeight="1" x14ac:dyDescent="0.4">
      <c r="A26" s="351" t="str">
        <f>IF(NeoBer1700!B20&gt;1,NeoBer1700!F20/10,"")</f>
        <v/>
      </c>
      <c r="B26" s="351"/>
      <c r="C26" s="356" t="str">
        <f>IF(A26&lt;&gt;"",IF(NeoBer1700!B20&gt;1,INDEX(tbl_Neo_MedIV,NeoBer1700!B20,1),""),"")</f>
        <v/>
      </c>
      <c r="D26" s="329"/>
      <c r="E26" s="330" t="str">
        <f>IF(A26&lt;&gt;"",IF(NeoBer1700!B20&gt;1,NeoBer1700!C20/10,""),"")</f>
        <v/>
      </c>
      <c r="F26" s="329" t="str">
        <f>IF(_Neo_InfB_Medicament_1&lt;&gt;5,"mg","ml")</f>
        <v>mg</v>
      </c>
      <c r="G26" s="357" t="s">
        <v>579</v>
      </c>
      <c r="H26" s="329" t="str">
        <f>IF(A26&lt;&gt;"",IF(NeoBer1700!B20&gt;1,INDEX(tbl_Neo_MedIV,NeoBer1700!B20,3),""),"")</f>
        <v/>
      </c>
      <c r="I26" s="329" t="s">
        <v>580</v>
      </c>
      <c r="J26" s="329" t="str">
        <f>IF(A26&lt;&gt;"",IF(NeoBer1700!B20&gt;1,INDEX(tbl_Neo_MedIV,NeoBer1700!B20,4),""),"")</f>
        <v/>
      </c>
      <c r="K26" s="329" t="s">
        <v>581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IF(C26&lt;&gt;"",IF(_Neo_InfB_VochtExtra_02,"extra",""),"")</f>
        <v/>
      </c>
      <c r="P26" s="332"/>
    </row>
    <row r="27" spans="1:16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582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6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124</v>
      </c>
      <c r="K28" s="339"/>
      <c r="L28" s="339"/>
      <c r="M28" s="344" t="str">
        <f>IF(A26&lt;&gt;"",TRUNC(_Neo_InfB_OplHoev_1),"")</f>
        <v/>
      </c>
      <c r="N28" s="335" t="str">
        <f>IF(A26&lt;&gt;"",(_Neo_InfB_OplHoev_1-M28)*100,"")</f>
        <v/>
      </c>
      <c r="O28" s="331"/>
      <c r="P28" s="332"/>
    </row>
    <row r="29" spans="1:16" ht="14.25" customHeight="1" x14ac:dyDescent="0.4">
      <c r="A29" s="351" t="str">
        <f>IF(NeoBer1700!B21&gt;1,NeoBer1700!F21/10,"")</f>
        <v/>
      </c>
      <c r="B29" s="351"/>
      <c r="C29" s="356" t="str">
        <f>IF(A29&lt;&gt;"",IF(NeoBer1700!B21&gt;1,INDEX(tbl_Neo_MedIV,NeoBer1700!B21,1),""),"")</f>
        <v/>
      </c>
      <c r="D29" s="329"/>
      <c r="E29" s="330" t="str">
        <f>IF(A29&lt;&gt;"",IF(NeoBer1700!B21&gt;1,NeoBer1700!C21/10,""),"")</f>
        <v/>
      </c>
      <c r="F29" s="329" t="str">
        <f>IF(_Neo_InfB_Medicament_2&lt;&gt;5,"mg","ml")</f>
        <v>mg</v>
      </c>
      <c r="G29" s="357" t="s">
        <v>579</v>
      </c>
      <c r="H29" s="329" t="str">
        <f>IF(A29&lt;&gt;"",IF(NeoBer1700!B21&gt;1,INDEX(tbl_Neo_MedIV,NeoBer1700!B21,3),""),"")</f>
        <v/>
      </c>
      <c r="I29" s="329" t="s">
        <v>580</v>
      </c>
      <c r="J29" s="329" t="str">
        <f>IF(A29&lt;&gt;"",IF(NeoBer1700!B21&gt;1,INDEX(tbl_Neo_MedIV,NeoBer1700!B21,4),""),"")</f>
        <v/>
      </c>
      <c r="K29" s="329" t="s">
        <v>581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IF(C29&lt;&gt;"",IF(_Neo_InfB_VochtExtra_03,"extra",""),"")</f>
        <v/>
      </c>
      <c r="P29" s="332"/>
    </row>
    <row r="30" spans="1:16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582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6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124</v>
      </c>
      <c r="K31" s="339"/>
      <c r="L31" s="339"/>
      <c r="M31" s="344" t="str">
        <f>IF(A29&lt;&gt;"",TRUNC(_Neo_InfB_OplHoev_2),"")</f>
        <v/>
      </c>
      <c r="N31" s="335" t="str">
        <f>IF(A29&lt;&gt;"",(_Neo_InfB_OplHoev_2-M31)*100,"")</f>
        <v/>
      </c>
      <c r="O31" s="331"/>
      <c r="P31" s="332"/>
    </row>
    <row r="32" spans="1:16" ht="14.25" customHeight="1" x14ac:dyDescent="0.4">
      <c r="A32" s="351" t="str">
        <f>IF(NeoBer1700!B22&gt;1,NeoBer1700!F22/10,"")</f>
        <v/>
      </c>
      <c r="B32" s="351"/>
      <c r="C32" s="356" t="str">
        <f>IF(A32&lt;&gt;"",IF(NeoBer1700!B22&gt;1,INDEX(tbl_Neo_MedIV,NeoBer1700!B22,1),""),"")</f>
        <v/>
      </c>
      <c r="D32" s="329"/>
      <c r="E32" s="330" t="str">
        <f>IF(A32&lt;&gt;"",IF(NeoBer1700!B22&gt;1,NeoBer1700!C22/10,""),"")</f>
        <v/>
      </c>
      <c r="F32" s="329" t="str">
        <f>IF(_Neo_InfB_Medicament_3&lt;&gt;5,"mg","ml")</f>
        <v>mg</v>
      </c>
      <c r="G32" s="357" t="s">
        <v>579</v>
      </c>
      <c r="H32" s="329" t="str">
        <f>IF(A32&lt;&gt;"",IF(NeoBer1700!B22&gt;1,INDEX(tbl_Neo_MedIV,NeoBer1700!B22,3),""),"")</f>
        <v/>
      </c>
      <c r="I32" s="329" t="s">
        <v>580</v>
      </c>
      <c r="J32" s="329" t="str">
        <f>IF(A32&lt;&gt;"",IF(NeoBer1700!B22&gt;1,INDEX(tbl_Neo_MedIV,NeoBer1700!B22,4),""),"")</f>
        <v/>
      </c>
      <c r="K32" s="329" t="s">
        <v>581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IF(C32&lt;&gt;"",IF(_Neo_InfB_VochtExtra_04,"extra",""),"")</f>
        <v/>
      </c>
      <c r="P32" s="332"/>
    </row>
    <row r="33" spans="1:16" ht="14.25" customHeight="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582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4.25" customHeight="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124</v>
      </c>
      <c r="K34" s="339"/>
      <c r="L34" s="339"/>
      <c r="M34" s="344" t="str">
        <f>IF(A32&lt;&gt;"",TRUNC(_Neo_InfB_OplHoev_3),"")</f>
        <v/>
      </c>
      <c r="N34" s="335" t="str">
        <f>IF(A32&lt;&gt;"",(_Neo_InfB_OplHoev_3-M34)*100,"")</f>
        <v/>
      </c>
      <c r="O34" s="331"/>
      <c r="P34" s="332"/>
    </row>
    <row r="35" spans="1:16" ht="14.25" customHeight="1" x14ac:dyDescent="0.4">
      <c r="A35" s="351" t="str">
        <f>IF(NeoBer1700!B23&gt;1,NeoBer1700!F23/10,"")</f>
        <v/>
      </c>
      <c r="B35" s="351"/>
      <c r="C35" s="356" t="str">
        <f>IF(A35&lt;&gt;"",IF(NeoBer1700!B23&gt;1,INDEX(tbl_Neo_MedIV,NeoBer1700!B23,1),""),"")</f>
        <v/>
      </c>
      <c r="D35" s="329"/>
      <c r="E35" s="330" t="str">
        <f>IF(A35&lt;&gt;"",IF(NeoBer1700!B23&gt;1,NeoBer1700!C23/10,""),"")</f>
        <v/>
      </c>
      <c r="F35" s="329" t="str">
        <f>IF(_Neo_InfB_Medicament_4&lt;&gt;5,"mg","ml")</f>
        <v>mg</v>
      </c>
      <c r="G35" s="357" t="s">
        <v>579</v>
      </c>
      <c r="H35" s="329" t="str">
        <f>IF(A35&lt;&gt;"",IF(NeoBer1700!B23&gt;1,INDEX(tbl_Neo_MedIV,NeoBer1700!B23,3),""),"")</f>
        <v/>
      </c>
      <c r="I35" s="329" t="s">
        <v>580</v>
      </c>
      <c r="J35" s="329" t="str">
        <f>IF(A35&lt;&gt;"",IF(NeoBer1700!B23&gt;1,INDEX(tbl_Neo_MedIV,NeoBer1700!B23,4),""),"")</f>
        <v/>
      </c>
      <c r="K35" s="329" t="s">
        <v>581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IF(C35&lt;&gt;"",IF(_Neo_InfB_VochtExtra_05,"extra",""),"")</f>
        <v/>
      </c>
      <c r="P35" s="332"/>
    </row>
    <row r="36" spans="1:16" ht="14.25" customHeight="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582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4.25" customHeight="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124</v>
      </c>
      <c r="K37" s="339"/>
      <c r="L37" s="339"/>
      <c r="M37" s="344" t="str">
        <f>IF(A35&lt;&gt;"",TRUNC(_Neo_InfB_OplHoev_4),"")</f>
        <v/>
      </c>
      <c r="N37" s="335" t="str">
        <f>IF(A35&lt;&gt;"",(_Neo_InfB_OplHoev_4-M37)*100,"")</f>
        <v/>
      </c>
      <c r="O37" s="331"/>
      <c r="P37" s="332"/>
    </row>
    <row r="38" spans="1:16" ht="14.25" customHeight="1" x14ac:dyDescent="0.4">
      <c r="A38" s="351" t="str">
        <f>IF(NeoBer1700!B24&gt;1,NeoBer1700!F24/10,"")</f>
        <v/>
      </c>
      <c r="B38" s="351"/>
      <c r="C38" s="356" t="str">
        <f>IF(A38&lt;&gt;"",IF(NeoBer1700!B24&gt;1,INDEX(tbl_Neo_MedIV,NeoBer1700!B24,1),""),"")</f>
        <v/>
      </c>
      <c r="D38" s="329"/>
      <c r="E38" s="330" t="str">
        <f>IF(A38&lt;&gt;"",IF(NeoBer1700!B24&gt;1,NeoBer1700!C24/10,""),"")</f>
        <v/>
      </c>
      <c r="F38" s="329" t="str">
        <f>IF(_Neo_InfB_Medicament_5&lt;&gt;5,"mg","ml")</f>
        <v>mg</v>
      </c>
      <c r="G38" s="357" t="s">
        <v>579</v>
      </c>
      <c r="H38" s="329" t="str">
        <f>IF(A38&lt;&gt;"",IF(NeoBer1700!B24&gt;1,INDEX(tbl_Neo_MedIV,NeoBer1700!B24,3),""),"")</f>
        <v/>
      </c>
      <c r="I38" s="329" t="s">
        <v>580</v>
      </c>
      <c r="J38" s="329" t="str">
        <f>IF(A38&lt;&gt;"",IF(NeoBer1700!B24&gt;1,INDEX(tbl_Neo_MedIV,NeoBer1700!B24,4),""),"")</f>
        <v/>
      </c>
      <c r="K38" s="329" t="s">
        <v>581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IF(C38&lt;&gt;"",IF(_Neo_InfB_VochtExtra_06,"extra",""),"")</f>
        <v/>
      </c>
      <c r="P38" s="332"/>
    </row>
    <row r="39" spans="1:16" ht="14.25" customHeight="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582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4.25" customHeight="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124</v>
      </c>
      <c r="K40" s="339"/>
      <c r="L40" s="339"/>
      <c r="M40" s="344" t="str">
        <f>IF(A38&lt;&gt;"",TRUNC(_Neo_InfB_OplHoev_5),"")</f>
        <v/>
      </c>
      <c r="N40" s="335" t="str">
        <f>IF(A38&lt;&gt;"",(_Neo_InfB_OplHoev_5-M40)*100,"")</f>
        <v/>
      </c>
      <c r="O40" s="331"/>
      <c r="P40" s="332"/>
    </row>
    <row r="41" spans="1:16" ht="14.25" customHeight="1" x14ac:dyDescent="0.4">
      <c r="A41" s="351" t="str">
        <f>IF(NeoBer1700!B25&gt;1,NeoBer1700!F25/10,"")</f>
        <v/>
      </c>
      <c r="B41" s="351"/>
      <c r="C41" s="356" t="str">
        <f>IF(A41&lt;&gt;"",IF(NeoBer1700!B25&gt;1,INDEX(tbl_Neo_MedIV,NeoBer1700!B25,1),""),"")</f>
        <v/>
      </c>
      <c r="D41" s="329"/>
      <c r="E41" s="330" t="str">
        <f>IF(A41&lt;&gt;"",IF(NeoBer1700!B25&gt;1,NeoBer1700!C25/10,""),"")</f>
        <v/>
      </c>
      <c r="F41" s="329" t="str">
        <f>IF(_Neo_InfB_Medicament_6&lt;&gt;5,"mg","ml")</f>
        <v>mg</v>
      </c>
      <c r="G41" s="357" t="s">
        <v>579</v>
      </c>
      <c r="H41" s="329" t="str">
        <f>IF(A41&lt;&gt;"",IF(NeoBer1700!B25&gt;1,INDEX(tbl_Neo_MedIV,NeoBer1700!B25,3),""),"")</f>
        <v/>
      </c>
      <c r="I41" s="329" t="s">
        <v>580</v>
      </c>
      <c r="J41" s="329" t="str">
        <f>IF(A41&lt;&gt;"",IF(NeoBer1700!B25&gt;1,INDEX(tbl_Neo_MedIV,NeoBer1700!B25,4),""),"")</f>
        <v/>
      </c>
      <c r="K41" s="329" t="s">
        <v>581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IF(C41&lt;&gt;"",IF(_Neo_InfB_VochtExtra_07,"extra",""),"")</f>
        <v/>
      </c>
      <c r="P41" s="332"/>
    </row>
    <row r="42" spans="1:16" ht="14.25" customHeight="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582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4.25" customHeight="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124</v>
      </c>
      <c r="K43" s="339"/>
      <c r="L43" s="339"/>
      <c r="M43" s="344" t="str">
        <f>IF(A41&lt;&gt;"",TRUNC(_Neo_InfB_OplHoev_6),"")</f>
        <v/>
      </c>
      <c r="N43" s="335" t="str">
        <f>IF(A41&lt;&gt;"",(_Neo_InfB_OplHoev_6-M43)*100,"")</f>
        <v/>
      </c>
      <c r="O43" s="331"/>
      <c r="P43" s="332"/>
    </row>
    <row r="44" spans="1:16" ht="14.25" customHeight="1" x14ac:dyDescent="0.4">
      <c r="A44" s="351" t="str">
        <f>IF(NeoBer1700!B26&gt;1,NeoBer1700!F26/10,"")</f>
        <v/>
      </c>
      <c r="B44" s="351"/>
      <c r="C44" s="356" t="str">
        <f>IF(A44&lt;&gt;"",IF(NeoBer1700!B26&gt;1,INDEX(tbl_Neo_MedIV,NeoBer1700!B26,1),""),"")</f>
        <v/>
      </c>
      <c r="D44" s="329"/>
      <c r="E44" s="330" t="str">
        <f>IF(A44&lt;&gt;"",IF(NeoBer1700!B26&gt;1,NeoBer1700!C26/10,""),"")</f>
        <v/>
      </c>
      <c r="F44" s="329" t="str">
        <f>IF(_Neo_InfB_Medicament_7&lt;&gt;5,"mg","ml")</f>
        <v>mg</v>
      </c>
      <c r="G44" s="357" t="s">
        <v>579</v>
      </c>
      <c r="H44" s="329" t="str">
        <f>IF(A44&lt;&gt;"",IF(NeoBer1700!B26&gt;1,INDEX(tbl_Neo_MedIV,NeoBer1700!B26,3),""),"")</f>
        <v/>
      </c>
      <c r="I44" s="329" t="s">
        <v>580</v>
      </c>
      <c r="J44" s="329" t="str">
        <f>IF(A44&lt;&gt;"",IF(NeoBer1700!B26&gt;1,INDEX(tbl_Neo_MedIV,NeoBer1700!B26,4),""),"")</f>
        <v/>
      </c>
      <c r="K44" s="329" t="s">
        <v>581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IF(C44&lt;&gt;"",IF(_Neo_InfB_VochtExtra_08,"extra",""),"")</f>
        <v/>
      </c>
      <c r="P44" s="332"/>
    </row>
    <row r="45" spans="1:16" ht="14.25" customHeight="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582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4.25" customHeight="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124</v>
      </c>
      <c r="K46" s="339"/>
      <c r="L46" s="339"/>
      <c r="M46" s="344" t="str">
        <f>IF(A44&lt;&gt;"",TRUNC(_Neo_InfB_OplHoev_7),"")</f>
        <v/>
      </c>
      <c r="N46" s="335" t="str">
        <f>IF(A44&lt;&gt;"",(_Neo_InfB_OplHoev_7-M46)*100,"")</f>
        <v/>
      </c>
      <c r="O46" s="331"/>
      <c r="P46" s="332"/>
    </row>
    <row r="47" spans="1:16" ht="14.25" customHeight="1" x14ac:dyDescent="0.4">
      <c r="A47" s="351" t="str">
        <f>IF(NeoBer1700!B27&gt;1,NeoBer1700!F27/10,"")</f>
        <v/>
      </c>
      <c r="B47" s="351"/>
      <c r="C47" s="356" t="str">
        <f>IF(A47&lt;&gt;"",IF(NeoBer1700!B27&gt;1,INDEX(tbl_Neo_MedIV,NeoBer1700!B27,1),""),"")</f>
        <v/>
      </c>
      <c r="D47" s="329"/>
      <c r="E47" s="330" t="str">
        <f>IF(A47&lt;&gt;"",IF(NeoBer1700!B27&gt;1,NeoBer1700!C27/10,""),"")</f>
        <v/>
      </c>
      <c r="F47" s="329" t="str">
        <f>IF(_Neo_InfB_Medicament_8&lt;&gt;5,"mg","ml")</f>
        <v>mg</v>
      </c>
      <c r="G47" s="357" t="s">
        <v>579</v>
      </c>
      <c r="H47" s="329" t="str">
        <f>IF(A47&lt;&gt;"",IF(NeoBer1700!B27&gt;1,INDEX(tbl_Neo_MedIV,NeoBer1700!B27,3),""),"")</f>
        <v/>
      </c>
      <c r="I47" s="329" t="s">
        <v>580</v>
      </c>
      <c r="J47" s="329" t="str">
        <f>IF(A47&lt;&gt;"",IF(NeoBer1700!B27&gt;1,INDEX(tbl_Neo_MedIV,NeoBer1700!B27,4),""),"")</f>
        <v/>
      </c>
      <c r="K47" s="329" t="s">
        <v>581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IF(C47&lt;&gt;"",IF(_Neo_InfB_VochtExtra_02=8,"extra",""),"")</f>
        <v/>
      </c>
      <c r="P47" s="332"/>
    </row>
    <row r="48" spans="1:16" ht="14.25" customHeight="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582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4.25" customHeight="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124</v>
      </c>
      <c r="K49" s="339"/>
      <c r="L49" s="339"/>
      <c r="M49" s="344" t="str">
        <f>IF(A47&lt;&gt;"",TRUNC(_Neo_InfB_OplHoev_8),"")</f>
        <v/>
      </c>
      <c r="N49" s="335" t="str">
        <f>IF(A47&lt;&gt;"",(_Neo_InfB_OplHoev_8-M49)*100,"")</f>
        <v/>
      </c>
      <c r="O49" s="331"/>
      <c r="P49" s="332"/>
    </row>
    <row r="50" spans="1:16" ht="14.25" customHeight="1" x14ac:dyDescent="0.4">
      <c r="A50" s="351" t="str">
        <f>IF(NeoBer1700!B28&gt;1,NeoBer1700!F28/10,"")</f>
        <v/>
      </c>
      <c r="B50" s="351"/>
      <c r="C50" s="356" t="str">
        <f>IF(A50&lt;&gt;"",IF(NeoBer1700!B28&gt;1,INDEX(tbl_Neo_MedIV,NeoBer1700!B28,1),""),"")</f>
        <v/>
      </c>
      <c r="D50" s="329"/>
      <c r="E50" s="330" t="str">
        <f>IF(A50&lt;&gt;"",IF(NeoBer1700!B28&gt;1,NeoBer1700!C28/10,""),"")</f>
        <v/>
      </c>
      <c r="F50" s="329" t="str">
        <f>IF(_Neo_InfB_Medicament_9&lt;&gt;5,"mg","ml")</f>
        <v>mg</v>
      </c>
      <c r="G50" s="357" t="s">
        <v>579</v>
      </c>
      <c r="H50" s="329" t="str">
        <f>IF(A50&lt;&gt;"",IF(NeoBer1700!B28&gt;1,INDEX(tbl_Neo_MedIV,NeoBer1700!B28,3),""),"")</f>
        <v/>
      </c>
      <c r="I50" s="329" t="s">
        <v>580</v>
      </c>
      <c r="J50" s="329" t="str">
        <f>IF(A50&lt;&gt;"",IF(NeoBer1700!B28&gt;1,INDEX(tbl_Neo_MedIV,NeoBer1700!B28,4),""),"")</f>
        <v/>
      </c>
      <c r="K50" s="329" t="s">
        <v>581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IF(C50&lt;&gt;"",IF(_Neo_InfB_VochtExtra_10,"extra",""),"")</f>
        <v/>
      </c>
      <c r="P50" s="332"/>
    </row>
    <row r="51" spans="1:16" ht="14.25" customHeight="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582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4.25" customHeight="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124</v>
      </c>
      <c r="K52" s="339"/>
      <c r="L52" s="339"/>
      <c r="M52" s="344" t="str">
        <f>IF(A50&lt;&gt;"",TRUNC(_Neo_InfB_OplHoev_9),"")</f>
        <v/>
      </c>
      <c r="N52" s="335" t="str">
        <f>IF(A50&lt;&gt;"",(_Neo_InfB_OplHoev_9-M52)*100,"")</f>
        <v/>
      </c>
      <c r="O52" s="331"/>
      <c r="P52" s="332"/>
    </row>
    <row r="53" spans="1:16" ht="14.25" customHeight="1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ht="14.25" customHeight="1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ht="14.25" customHeight="1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ht="14.25" customHeight="1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ht="14.25" customHeight="1" x14ac:dyDescent="0.35">
      <c r="D57" s="370"/>
    </row>
    <row r="58" spans="1:16" ht="9.75" customHeight="1" x14ac:dyDescent="0.35"/>
    <row r="59" spans="1:16" ht="14.25" customHeight="1" x14ac:dyDescent="0.35"/>
    <row r="60" spans="1:16" ht="14.25" customHeight="1" x14ac:dyDescent="0.35"/>
  </sheetData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A2" sqref="A2"/>
    </sheetView>
  </sheetViews>
  <sheetFormatPr defaultRowHeight="12.85" x14ac:dyDescent="0.35"/>
  <cols>
    <col min="2" max="2" width="30.73046875" bestFit="1" customWidth="1"/>
    <col min="3" max="3" width="26.1328125" customWidth="1"/>
    <col min="6" max="6" width="12.265625" bestFit="1" customWidth="1"/>
    <col min="7" max="7" width="12.73046875" bestFit="1" customWidth="1"/>
    <col min="8" max="10" width="17.86328125" customWidth="1"/>
    <col min="11" max="11" width="9.86328125" bestFit="1" customWidth="1"/>
  </cols>
  <sheetData>
    <row r="1" spans="1:11" x14ac:dyDescent="0.35">
      <c r="A1" s="594"/>
      <c r="B1" s="641" t="s">
        <v>634</v>
      </c>
      <c r="C1" s="641" t="s">
        <v>635</v>
      </c>
      <c r="D1" s="641" t="s">
        <v>176</v>
      </c>
      <c r="E1" s="641" t="s">
        <v>177</v>
      </c>
      <c r="F1" s="641" t="s">
        <v>1176</v>
      </c>
      <c r="G1" s="641"/>
      <c r="H1" s="641" t="s">
        <v>1140</v>
      </c>
      <c r="I1" s="641" t="s">
        <v>1141</v>
      </c>
      <c r="J1" s="642" t="s">
        <v>1139</v>
      </c>
      <c r="K1" s="642" t="s">
        <v>1150</v>
      </c>
    </row>
    <row r="2" spans="1:11" x14ac:dyDescent="0.35">
      <c r="A2" s="641">
        <v>1</v>
      </c>
      <c r="B2" s="641"/>
      <c r="C2" s="641"/>
      <c r="D2" s="641"/>
      <c r="E2" s="641"/>
      <c r="F2" s="641"/>
      <c r="G2" s="641"/>
      <c r="H2" s="641"/>
      <c r="I2" s="641"/>
      <c r="K2">
        <v>1</v>
      </c>
    </row>
    <row r="3" spans="1:11" x14ac:dyDescent="0.35">
      <c r="A3" s="641">
        <v>2</v>
      </c>
      <c r="B3" s="641" t="s">
        <v>132</v>
      </c>
      <c r="C3" s="641" t="s">
        <v>796</v>
      </c>
      <c r="D3" s="641">
        <v>0.1</v>
      </c>
      <c r="E3" s="641">
        <v>1</v>
      </c>
      <c r="F3" s="641">
        <v>2</v>
      </c>
      <c r="G3" s="641" t="s">
        <v>641</v>
      </c>
      <c r="H3" s="641">
        <v>0.05</v>
      </c>
      <c r="I3" s="641">
        <v>0.1</v>
      </c>
      <c r="J3">
        <v>0.5</v>
      </c>
      <c r="K3">
        <v>3</v>
      </c>
    </row>
    <row r="4" spans="1:11" x14ac:dyDescent="0.35">
      <c r="A4" s="641">
        <v>3</v>
      </c>
      <c r="B4" s="641" t="s">
        <v>798</v>
      </c>
      <c r="C4" s="641" t="s">
        <v>778</v>
      </c>
      <c r="D4" s="641">
        <v>0.5</v>
      </c>
      <c r="E4" s="641">
        <v>1</v>
      </c>
      <c r="F4" s="641">
        <v>6</v>
      </c>
      <c r="G4" s="641" t="s">
        <v>448</v>
      </c>
      <c r="H4" s="641">
        <v>10</v>
      </c>
      <c r="I4" s="641">
        <v>100</v>
      </c>
      <c r="J4" s="517">
        <v>100</v>
      </c>
      <c r="K4">
        <v>3</v>
      </c>
    </row>
    <row r="5" spans="1:11" x14ac:dyDescent="0.35">
      <c r="A5" s="641">
        <v>4</v>
      </c>
      <c r="B5" s="641" t="s">
        <v>799</v>
      </c>
      <c r="C5" s="641" t="s">
        <v>800</v>
      </c>
      <c r="D5" s="641">
        <v>50</v>
      </c>
      <c r="E5" s="641">
        <v>1</v>
      </c>
      <c r="F5" s="641">
        <v>2</v>
      </c>
      <c r="G5" s="641" t="s">
        <v>641</v>
      </c>
      <c r="H5" s="641">
        <v>5</v>
      </c>
      <c r="I5" s="641">
        <v>15</v>
      </c>
      <c r="J5" s="517">
        <v>15</v>
      </c>
      <c r="K5">
        <v>3</v>
      </c>
    </row>
    <row r="6" spans="1:11" x14ac:dyDescent="0.35">
      <c r="A6" s="641">
        <v>5</v>
      </c>
      <c r="B6" s="641" t="s">
        <v>821</v>
      </c>
      <c r="C6" s="641" t="s">
        <v>639</v>
      </c>
      <c r="D6" s="641">
        <v>1</v>
      </c>
      <c r="E6" s="641">
        <v>2</v>
      </c>
      <c r="F6" s="641">
        <v>3</v>
      </c>
      <c r="G6" s="641" t="s">
        <v>388</v>
      </c>
      <c r="H6" s="641">
        <v>0.1</v>
      </c>
      <c r="I6" s="641">
        <v>0.5</v>
      </c>
      <c r="J6" s="517">
        <v>0.5</v>
      </c>
      <c r="K6">
        <v>3</v>
      </c>
    </row>
    <row r="7" spans="1:11" x14ac:dyDescent="0.35">
      <c r="A7" s="641">
        <v>6</v>
      </c>
      <c r="B7" s="641" t="s">
        <v>801</v>
      </c>
      <c r="C7" s="641" t="s">
        <v>826</v>
      </c>
      <c r="D7" s="641">
        <v>0.15</v>
      </c>
      <c r="E7" s="641">
        <v>1</v>
      </c>
      <c r="F7" s="641">
        <v>7</v>
      </c>
      <c r="G7" s="641" t="s">
        <v>802</v>
      </c>
      <c r="H7" s="641">
        <v>0.25</v>
      </c>
      <c r="I7" s="641">
        <v>2</v>
      </c>
      <c r="J7" s="517">
        <v>2</v>
      </c>
      <c r="K7">
        <v>12</v>
      </c>
    </row>
    <row r="8" spans="1:11" x14ac:dyDescent="0.35">
      <c r="A8" s="641">
        <v>7</v>
      </c>
      <c r="B8" s="641" t="s">
        <v>803</v>
      </c>
      <c r="C8" s="641" t="s">
        <v>644</v>
      </c>
      <c r="D8" s="641">
        <v>12.5</v>
      </c>
      <c r="E8" s="641">
        <v>1</v>
      </c>
      <c r="F8" s="641">
        <v>2</v>
      </c>
      <c r="G8" s="641" t="s">
        <v>641</v>
      </c>
      <c r="H8" s="641">
        <v>2.5</v>
      </c>
      <c r="I8" s="641">
        <v>20</v>
      </c>
      <c r="J8" s="517">
        <v>20</v>
      </c>
      <c r="K8">
        <v>3</v>
      </c>
    </row>
    <row r="9" spans="1:11" x14ac:dyDescent="0.35">
      <c r="A9" s="641">
        <v>8</v>
      </c>
      <c r="B9" s="641" t="s">
        <v>804</v>
      </c>
      <c r="C9" s="641" t="s">
        <v>647</v>
      </c>
      <c r="D9" s="641">
        <v>40</v>
      </c>
      <c r="E9" s="641">
        <v>1</v>
      </c>
      <c r="F9" s="641">
        <v>2</v>
      </c>
      <c r="G9" s="641" t="s">
        <v>641</v>
      </c>
      <c r="H9" s="641">
        <v>1</v>
      </c>
      <c r="I9" s="641">
        <v>20</v>
      </c>
      <c r="J9" s="517">
        <v>20</v>
      </c>
      <c r="K9">
        <v>3</v>
      </c>
    </row>
    <row r="10" spans="1:11" s="548" customFormat="1" ht="14.35" x14ac:dyDescent="0.45">
      <c r="A10" s="641">
        <v>9</v>
      </c>
      <c r="B10" s="819" t="s">
        <v>1169</v>
      </c>
      <c r="C10" s="820" t="s">
        <v>1170</v>
      </c>
      <c r="D10" s="819">
        <v>2</v>
      </c>
      <c r="E10" s="819">
        <v>1</v>
      </c>
      <c r="F10" s="818">
        <v>5</v>
      </c>
      <c r="G10" s="820" t="s">
        <v>387</v>
      </c>
      <c r="H10" s="642">
        <v>0.5</v>
      </c>
      <c r="I10" s="642">
        <v>2</v>
      </c>
      <c r="J10" s="548">
        <v>2</v>
      </c>
      <c r="K10" s="548">
        <v>3</v>
      </c>
    </row>
    <row r="11" spans="1:11" x14ac:dyDescent="0.35">
      <c r="A11" s="641">
        <v>10</v>
      </c>
      <c r="B11" s="641" t="s">
        <v>808</v>
      </c>
      <c r="C11" s="641" t="s">
        <v>525</v>
      </c>
      <c r="D11" s="641">
        <v>2.5</v>
      </c>
      <c r="E11" s="641">
        <v>1</v>
      </c>
      <c r="F11" s="641"/>
      <c r="G11" s="641" t="s">
        <v>191</v>
      </c>
      <c r="H11" s="641">
        <v>1</v>
      </c>
      <c r="I11" s="641">
        <v>1000</v>
      </c>
      <c r="J11" s="517">
        <v>1000</v>
      </c>
      <c r="K11">
        <v>1</v>
      </c>
    </row>
    <row r="12" spans="1:11" x14ac:dyDescent="0.35">
      <c r="A12" s="641">
        <v>11</v>
      </c>
      <c r="B12" s="641" t="s">
        <v>805</v>
      </c>
      <c r="C12" s="641" t="s">
        <v>525</v>
      </c>
      <c r="D12" s="641">
        <v>2.5</v>
      </c>
      <c r="E12" s="641">
        <v>1</v>
      </c>
      <c r="F12" s="641"/>
      <c r="G12" s="641" t="s">
        <v>191</v>
      </c>
      <c r="H12" s="641">
        <v>1</v>
      </c>
      <c r="I12" s="641">
        <v>1000</v>
      </c>
      <c r="J12" s="517">
        <v>1000</v>
      </c>
      <c r="K12">
        <v>1</v>
      </c>
    </row>
    <row r="13" spans="1:11" x14ac:dyDescent="0.35">
      <c r="A13" s="641">
        <v>12</v>
      </c>
      <c r="B13" s="642" t="s">
        <v>806</v>
      </c>
      <c r="C13" s="642" t="s">
        <v>59</v>
      </c>
      <c r="D13" s="642">
        <v>0.01</v>
      </c>
      <c r="E13" s="642">
        <v>1</v>
      </c>
      <c r="F13" s="642">
        <v>6</v>
      </c>
      <c r="G13" s="642" t="s">
        <v>448</v>
      </c>
      <c r="H13" s="642">
        <v>5</v>
      </c>
      <c r="I13" s="642">
        <v>30</v>
      </c>
      <c r="J13" s="517">
        <v>30</v>
      </c>
      <c r="K13">
        <v>14</v>
      </c>
    </row>
    <row r="14" spans="1:11" x14ac:dyDescent="0.35">
      <c r="A14" s="641">
        <v>13</v>
      </c>
      <c r="B14" s="641" t="s">
        <v>807</v>
      </c>
      <c r="C14" s="641" t="s">
        <v>511</v>
      </c>
      <c r="D14" s="641">
        <v>10</v>
      </c>
      <c r="E14" s="641">
        <v>11</v>
      </c>
      <c r="F14" s="641">
        <v>4</v>
      </c>
      <c r="G14" s="641" t="s">
        <v>512</v>
      </c>
      <c r="H14" s="641">
        <v>0.1</v>
      </c>
      <c r="I14" s="641">
        <v>1</v>
      </c>
      <c r="J14" s="517">
        <v>1</v>
      </c>
      <c r="K14">
        <v>3</v>
      </c>
    </row>
    <row r="15" spans="1:11" x14ac:dyDescent="0.35">
      <c r="A15" s="641">
        <v>14</v>
      </c>
      <c r="B15" s="518" t="s">
        <v>809</v>
      </c>
      <c r="C15" s="263" t="s">
        <v>162</v>
      </c>
      <c r="D15" s="641">
        <v>10</v>
      </c>
      <c r="E15" s="641">
        <v>1</v>
      </c>
      <c r="F15" s="641">
        <v>3</v>
      </c>
      <c r="G15" s="263" t="s">
        <v>388</v>
      </c>
      <c r="H15" s="641">
        <v>1</v>
      </c>
      <c r="I15" s="641">
        <v>4</v>
      </c>
      <c r="J15" s="517">
        <v>4</v>
      </c>
      <c r="K15">
        <v>3</v>
      </c>
    </row>
    <row r="16" spans="1:11" x14ac:dyDescent="0.35">
      <c r="A16" s="641">
        <v>15</v>
      </c>
      <c r="B16" s="518" t="s">
        <v>810</v>
      </c>
      <c r="C16" s="263" t="s">
        <v>1174</v>
      </c>
      <c r="D16" s="641">
        <v>100</v>
      </c>
      <c r="E16" s="641">
        <v>1</v>
      </c>
      <c r="F16" s="641">
        <v>9</v>
      </c>
      <c r="G16" s="263" t="s">
        <v>71</v>
      </c>
      <c r="H16" s="641">
        <v>0.01</v>
      </c>
      <c r="I16" s="641">
        <v>0.1</v>
      </c>
      <c r="J16" s="517">
        <v>0.1</v>
      </c>
      <c r="K16">
        <v>3</v>
      </c>
    </row>
    <row r="17" spans="1:11" x14ac:dyDescent="0.35">
      <c r="A17" s="641">
        <v>16</v>
      </c>
      <c r="B17" s="518" t="s">
        <v>811</v>
      </c>
      <c r="C17" s="263" t="s">
        <v>655</v>
      </c>
      <c r="D17" s="641">
        <v>1</v>
      </c>
      <c r="E17" s="641">
        <v>1</v>
      </c>
      <c r="F17" s="641">
        <v>2</v>
      </c>
      <c r="G17" s="263" t="s">
        <v>641</v>
      </c>
      <c r="H17" s="641">
        <v>0.01</v>
      </c>
      <c r="I17" s="641">
        <v>1.5</v>
      </c>
      <c r="J17" s="517">
        <v>0.5</v>
      </c>
      <c r="K17">
        <v>14</v>
      </c>
    </row>
    <row r="18" spans="1:11" x14ac:dyDescent="0.35">
      <c r="A18" s="641">
        <v>17</v>
      </c>
      <c r="B18" s="518" t="s">
        <v>812</v>
      </c>
      <c r="C18" s="263" t="s">
        <v>813</v>
      </c>
      <c r="D18" s="641">
        <v>5</v>
      </c>
      <c r="E18" s="642">
        <v>1</v>
      </c>
      <c r="F18" s="641">
        <v>5</v>
      </c>
      <c r="G18" s="263" t="s">
        <v>387</v>
      </c>
      <c r="H18" s="641">
        <v>0.25</v>
      </c>
      <c r="I18" s="641">
        <v>3</v>
      </c>
      <c r="J18" s="517">
        <v>3</v>
      </c>
      <c r="K18">
        <v>3</v>
      </c>
    </row>
    <row r="19" spans="1:11" x14ac:dyDescent="0.35">
      <c r="A19" s="641">
        <v>18</v>
      </c>
      <c r="B19" s="641" t="s">
        <v>822</v>
      </c>
      <c r="C19" s="641" t="s">
        <v>823</v>
      </c>
      <c r="D19" s="641">
        <v>20</v>
      </c>
      <c r="E19" s="641">
        <v>1</v>
      </c>
      <c r="F19" s="641">
        <v>5</v>
      </c>
      <c r="G19" s="641" t="s">
        <v>387</v>
      </c>
      <c r="H19" s="641">
        <v>4</v>
      </c>
      <c r="I19" s="641">
        <v>7</v>
      </c>
      <c r="J19" s="517">
        <v>7</v>
      </c>
      <c r="K19">
        <v>3</v>
      </c>
    </row>
    <row r="20" spans="1:11" x14ac:dyDescent="0.35">
      <c r="A20" s="641">
        <v>19</v>
      </c>
      <c r="B20" s="518" t="s">
        <v>294</v>
      </c>
      <c r="C20" s="263" t="s">
        <v>129</v>
      </c>
      <c r="D20" s="641">
        <v>5</v>
      </c>
      <c r="E20" s="641">
        <v>1</v>
      </c>
      <c r="F20" s="641">
        <v>5</v>
      </c>
      <c r="G20" s="263" t="s">
        <v>387</v>
      </c>
      <c r="H20" s="641">
        <v>0.05</v>
      </c>
      <c r="I20" s="641">
        <v>5</v>
      </c>
      <c r="J20" s="517">
        <v>5</v>
      </c>
      <c r="K20">
        <v>3</v>
      </c>
    </row>
    <row r="21" spans="1:11" x14ac:dyDescent="0.35">
      <c r="A21" s="641">
        <v>20</v>
      </c>
      <c r="B21" s="518" t="s">
        <v>814</v>
      </c>
      <c r="C21" s="263" t="s">
        <v>817</v>
      </c>
      <c r="D21" s="641">
        <v>1</v>
      </c>
      <c r="E21" s="641">
        <v>1</v>
      </c>
      <c r="F21" s="641">
        <v>2</v>
      </c>
      <c r="G21" s="263" t="s">
        <v>641</v>
      </c>
      <c r="H21" s="641">
        <v>0.25</v>
      </c>
      <c r="I21" s="641">
        <v>0.75</v>
      </c>
      <c r="J21" s="517">
        <v>0.75</v>
      </c>
      <c r="K21">
        <v>3</v>
      </c>
    </row>
    <row r="22" spans="1:11" x14ac:dyDescent="0.35">
      <c r="A22" s="641">
        <v>21</v>
      </c>
      <c r="B22" s="518" t="s">
        <v>137</v>
      </c>
      <c r="C22" s="263" t="s">
        <v>660</v>
      </c>
      <c r="D22" s="641">
        <v>10</v>
      </c>
      <c r="E22" s="641">
        <v>1</v>
      </c>
      <c r="F22" s="641">
        <v>3</v>
      </c>
      <c r="G22" s="263" t="s">
        <v>388</v>
      </c>
      <c r="H22" s="641">
        <v>0.125</v>
      </c>
      <c r="I22" s="641">
        <v>0.5</v>
      </c>
      <c r="J22" s="517">
        <v>0.5</v>
      </c>
      <c r="K22">
        <v>3</v>
      </c>
    </row>
    <row r="23" spans="1:11" x14ac:dyDescent="0.35">
      <c r="A23" s="641">
        <v>22</v>
      </c>
      <c r="B23" s="641" t="s">
        <v>824</v>
      </c>
      <c r="C23" s="641" t="s">
        <v>825</v>
      </c>
      <c r="D23" s="641">
        <v>1</v>
      </c>
      <c r="E23" s="641">
        <v>1</v>
      </c>
      <c r="F23" s="641">
        <v>2</v>
      </c>
      <c r="G23" s="641" t="s">
        <v>641</v>
      </c>
      <c r="H23" s="641">
        <v>0.5</v>
      </c>
      <c r="I23" s="641">
        <v>2</v>
      </c>
      <c r="J23" s="517">
        <v>2</v>
      </c>
      <c r="K23">
        <v>3</v>
      </c>
    </row>
    <row r="24" spans="1:11" x14ac:dyDescent="0.35">
      <c r="A24" s="641">
        <v>23</v>
      </c>
      <c r="B24" s="518" t="s">
        <v>815</v>
      </c>
      <c r="C24" s="263" t="s">
        <v>818</v>
      </c>
      <c r="D24" s="641">
        <v>25</v>
      </c>
      <c r="E24" s="641">
        <v>1</v>
      </c>
      <c r="F24" s="641">
        <v>2</v>
      </c>
      <c r="G24" s="263" t="s">
        <v>641</v>
      </c>
      <c r="H24" s="641">
        <v>0.5</v>
      </c>
      <c r="I24" s="641">
        <v>8</v>
      </c>
      <c r="J24" s="517">
        <v>8</v>
      </c>
      <c r="K24">
        <v>3</v>
      </c>
    </row>
    <row r="25" spans="1:11" x14ac:dyDescent="0.35">
      <c r="A25" s="641">
        <v>24</v>
      </c>
      <c r="B25" s="518" t="s">
        <v>816</v>
      </c>
      <c r="C25" s="263" t="s">
        <v>661</v>
      </c>
      <c r="D25" s="641">
        <v>1</v>
      </c>
      <c r="E25" s="641">
        <v>1</v>
      </c>
      <c r="F25" s="641">
        <v>2</v>
      </c>
      <c r="G25" s="263" t="s">
        <v>641</v>
      </c>
      <c r="H25" s="641">
        <v>0.05</v>
      </c>
      <c r="I25" s="641">
        <v>2</v>
      </c>
      <c r="J25" s="517">
        <v>2</v>
      </c>
      <c r="K25">
        <v>3</v>
      </c>
    </row>
    <row r="26" spans="1:11" x14ac:dyDescent="0.35">
      <c r="A26" s="641">
        <v>25</v>
      </c>
      <c r="B26" s="518" t="s">
        <v>819</v>
      </c>
      <c r="C26" s="263" t="s">
        <v>820</v>
      </c>
      <c r="D26" s="641">
        <v>10</v>
      </c>
      <c r="E26" s="641">
        <v>1</v>
      </c>
      <c r="F26" s="641">
        <v>5</v>
      </c>
      <c r="G26" s="263" t="s">
        <v>387</v>
      </c>
      <c r="H26" s="641">
        <v>0.3</v>
      </c>
      <c r="I26" s="641">
        <v>1.2</v>
      </c>
      <c r="J26" s="517">
        <v>1.2</v>
      </c>
      <c r="K26">
        <v>3</v>
      </c>
    </row>
    <row r="27" spans="1:11" x14ac:dyDescent="0.35">
      <c r="A27" s="641"/>
    </row>
    <row r="28" spans="1:11" x14ac:dyDescent="0.35">
      <c r="D28" s="517"/>
      <c r="E28" s="517"/>
      <c r="F28" s="517"/>
      <c r="G28" s="517"/>
      <c r="H28" s="517"/>
      <c r="I28" s="517"/>
      <c r="J28" s="517"/>
      <c r="K28" s="517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FFC000"/>
  </sheetPr>
  <dimension ref="A1:H32"/>
  <sheetViews>
    <sheetView workbookViewId="0">
      <selection activeCell="B6" sqref="B6"/>
    </sheetView>
  </sheetViews>
  <sheetFormatPr defaultColWidth="9.1328125" defaultRowHeight="12.85" x14ac:dyDescent="0.35"/>
  <cols>
    <col min="1" max="1" width="31.1328125" style="271" customWidth="1"/>
    <col min="2" max="16384" width="9.1328125" style="271"/>
  </cols>
  <sheetData>
    <row r="1" spans="1:7" ht="13.2" x14ac:dyDescent="0.4">
      <c r="A1" s="598"/>
      <c r="B1" s="489">
        <v>1</v>
      </c>
      <c r="C1" s="489">
        <v>2</v>
      </c>
      <c r="D1" s="489">
        <v>3</v>
      </c>
      <c r="E1" s="489">
        <v>4</v>
      </c>
      <c r="F1" s="489">
        <v>5</v>
      </c>
      <c r="G1" s="489">
        <v>6</v>
      </c>
    </row>
    <row r="2" spans="1:7" x14ac:dyDescent="0.35">
      <c r="A2" s="939"/>
      <c r="B2" s="939"/>
      <c r="C2" s="939"/>
      <c r="D2" s="939"/>
      <c r="E2" s="939"/>
      <c r="F2" s="939"/>
      <c r="G2" s="939"/>
    </row>
    <row r="3" spans="1:7" ht="13.2" x14ac:dyDescent="0.4">
      <c r="A3" s="940" t="s">
        <v>623</v>
      </c>
      <c r="B3" s="940"/>
      <c r="C3" s="940"/>
      <c r="D3" s="940"/>
      <c r="E3" s="940"/>
      <c r="F3" s="940"/>
      <c r="G3" s="940"/>
    </row>
    <row r="4" spans="1:7" x14ac:dyDescent="0.35">
      <c r="A4" s="490" t="s">
        <v>624</v>
      </c>
      <c r="B4" s="491">
        <v>50</v>
      </c>
      <c r="C4" s="491">
        <v>80</v>
      </c>
      <c r="D4" s="491">
        <v>110</v>
      </c>
      <c r="E4" s="491">
        <v>150</v>
      </c>
      <c r="F4" s="491">
        <v>150</v>
      </c>
      <c r="G4" s="491">
        <v>150</v>
      </c>
    </row>
    <row r="5" spans="1:7" x14ac:dyDescent="0.35">
      <c r="A5" s="490" t="s">
        <v>691</v>
      </c>
      <c r="B5" s="492" t="e">
        <f>80-((_Neo_InfB_Gewicht*1000)-500)/500*30</f>
        <v>#NAME?</v>
      </c>
      <c r="C5" s="492" t="e">
        <f>110-((_Neo_InfB_Gewicht*1000)-500)/500*30</f>
        <v>#NAME?</v>
      </c>
      <c r="D5" s="492" t="e">
        <f>150-((_Neo_InfB_Gewicht*1000)-500)/500*40</f>
        <v>#NAME?</v>
      </c>
      <c r="E5" s="492" t="e">
        <f>160-((_Neo_InfB_Gewicht*1000)-500)/500*10</f>
        <v>#NAME?</v>
      </c>
      <c r="F5" s="492">
        <v>160</v>
      </c>
      <c r="G5" s="492">
        <v>160</v>
      </c>
    </row>
    <row r="6" spans="1:7" x14ac:dyDescent="0.35">
      <c r="A6" s="606" t="s">
        <v>625</v>
      </c>
      <c r="B6" s="491">
        <v>30</v>
      </c>
      <c r="C6" s="491">
        <v>50</v>
      </c>
      <c r="D6" s="491">
        <v>70</v>
      </c>
      <c r="E6" s="491">
        <v>90</v>
      </c>
      <c r="F6" s="491">
        <v>110</v>
      </c>
      <c r="G6" s="491">
        <v>150</v>
      </c>
    </row>
    <row r="7" spans="1:7" x14ac:dyDescent="0.35">
      <c r="A7" s="490"/>
      <c r="B7" s="491"/>
      <c r="C7" s="491"/>
      <c r="D7" s="491"/>
      <c r="E7" s="491"/>
      <c r="F7" s="491"/>
      <c r="G7" s="491"/>
    </row>
    <row r="8" spans="1:7" ht="13.2" x14ac:dyDescent="0.4">
      <c r="A8" s="493" t="s">
        <v>626</v>
      </c>
      <c r="B8" s="494"/>
      <c r="C8" s="494"/>
      <c r="D8" s="494"/>
      <c r="E8" s="494"/>
      <c r="F8" s="494"/>
      <c r="G8" s="494"/>
    </row>
    <row r="9" spans="1:7" x14ac:dyDescent="0.35">
      <c r="A9" s="490" t="s">
        <v>627</v>
      </c>
      <c r="B9" s="491"/>
      <c r="C9" s="491"/>
      <c r="D9" s="491"/>
      <c r="E9" s="491">
        <v>35</v>
      </c>
      <c r="F9" s="491">
        <v>35</v>
      </c>
      <c r="G9" s="491">
        <v>35</v>
      </c>
    </row>
    <row r="10" spans="1:7" x14ac:dyDescent="0.35">
      <c r="A10" s="490" t="s">
        <v>34</v>
      </c>
      <c r="B10" s="491"/>
      <c r="C10" s="491" t="s">
        <v>628</v>
      </c>
      <c r="D10" s="491" t="s">
        <v>628</v>
      </c>
      <c r="E10" s="491"/>
      <c r="F10" s="491"/>
      <c r="G10" s="491"/>
    </row>
    <row r="11" spans="1:7" x14ac:dyDescent="0.35">
      <c r="A11" s="490" t="s">
        <v>576</v>
      </c>
      <c r="B11" s="491"/>
      <c r="C11" s="491" t="s">
        <v>629</v>
      </c>
      <c r="D11" s="491" t="s">
        <v>629</v>
      </c>
      <c r="E11" s="491"/>
      <c r="F11" s="491"/>
      <c r="G11" s="491"/>
    </row>
    <row r="12" spans="1:7" ht="15.1" x14ac:dyDescent="0.5">
      <c r="A12" s="490" t="s">
        <v>630</v>
      </c>
      <c r="B12" s="491" t="s">
        <v>628</v>
      </c>
      <c r="C12" s="491" t="s">
        <v>628</v>
      </c>
      <c r="D12" s="491" t="s">
        <v>628</v>
      </c>
      <c r="E12" s="491"/>
      <c r="F12" s="491"/>
      <c r="G12" s="491"/>
    </row>
    <row r="13" spans="1:7" ht="15.1" x14ac:dyDescent="0.5">
      <c r="A13" s="490" t="s">
        <v>631</v>
      </c>
      <c r="B13" s="491">
        <v>0.3</v>
      </c>
      <c r="C13" s="491">
        <v>0.3</v>
      </c>
      <c r="D13" s="491">
        <v>0.3</v>
      </c>
      <c r="E13" s="491"/>
      <c r="F13" s="491"/>
      <c r="G13" s="491"/>
    </row>
    <row r="14" spans="1:7" x14ac:dyDescent="0.35">
      <c r="A14" s="490" t="s">
        <v>234</v>
      </c>
      <c r="B14" s="491"/>
      <c r="C14" s="491">
        <v>1</v>
      </c>
      <c r="D14" s="491">
        <v>1</v>
      </c>
      <c r="E14" s="491"/>
      <c r="F14" s="491"/>
      <c r="G14" s="491"/>
    </row>
    <row r="15" spans="1:7" x14ac:dyDescent="0.35">
      <c r="A15" s="490" t="s">
        <v>632</v>
      </c>
      <c r="B15" s="491"/>
      <c r="C15" s="491">
        <v>7.5</v>
      </c>
      <c r="D15" s="491">
        <v>15</v>
      </c>
      <c r="E15" s="491"/>
      <c r="F15" s="491"/>
      <c r="G15" s="491"/>
    </row>
    <row r="16" spans="1:7" ht="25.65" x14ac:dyDescent="0.35">
      <c r="A16" s="490" t="s">
        <v>633</v>
      </c>
      <c r="B16" s="491"/>
      <c r="C16" s="491">
        <v>2.5</v>
      </c>
      <c r="D16" s="491">
        <v>5</v>
      </c>
      <c r="E16" s="491">
        <v>7.5</v>
      </c>
      <c r="F16" s="491">
        <v>10</v>
      </c>
      <c r="G16" s="491">
        <v>12</v>
      </c>
    </row>
    <row r="17" spans="1:8" x14ac:dyDescent="0.35">
      <c r="A17" s="490"/>
      <c r="B17" s="490"/>
      <c r="C17" s="490"/>
      <c r="D17" s="272"/>
      <c r="E17" s="272"/>
      <c r="F17" s="272"/>
      <c r="G17" s="272"/>
    </row>
    <row r="19" spans="1:8" x14ac:dyDescent="0.35">
      <c r="B19" s="495"/>
      <c r="C19" s="495"/>
      <c r="D19" s="495"/>
      <c r="E19" s="495"/>
      <c r="F19" s="495"/>
      <c r="G19" s="495"/>
    </row>
    <row r="21" spans="1:8" x14ac:dyDescent="0.35">
      <c r="A21" s="279"/>
      <c r="B21" s="279"/>
      <c r="C21" s="279"/>
      <c r="D21" s="279"/>
      <c r="E21" s="279"/>
      <c r="F21" s="279"/>
      <c r="G21" s="279"/>
      <c r="H21" s="279"/>
    </row>
    <row r="22" spans="1:8" x14ac:dyDescent="0.35">
      <c r="A22" s="279"/>
      <c r="B22" s="279"/>
      <c r="C22" s="279"/>
      <c r="D22" s="279"/>
      <c r="E22" s="279"/>
      <c r="F22" s="279"/>
      <c r="G22" s="279"/>
      <c r="H22" s="279"/>
    </row>
    <row r="23" spans="1:8" x14ac:dyDescent="0.35">
      <c r="A23" s="279"/>
      <c r="B23" s="279"/>
      <c r="C23" s="279"/>
      <c r="D23" s="279"/>
      <c r="E23" s="279"/>
      <c r="F23" s="279"/>
      <c r="G23" s="279"/>
      <c r="H23" s="279"/>
    </row>
    <row r="27" spans="1:8" ht="12.75" customHeight="1" x14ac:dyDescent="0.35"/>
    <row r="32" spans="1:8" ht="12.75" customHeight="1" x14ac:dyDescent="0.35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AE5" sqref="AE5"/>
    </sheetView>
  </sheetViews>
  <sheetFormatPr defaultColWidth="9.1328125" defaultRowHeight="12.85" x14ac:dyDescent="0.35"/>
  <cols>
    <col min="1" max="1" width="14.265625" style="641" customWidth="1"/>
    <col min="2" max="2" width="8.59765625" style="641" customWidth="1"/>
    <col min="3" max="3" width="6" style="641" bestFit="1" customWidth="1"/>
    <col min="4" max="4" width="2.265625" style="641" bestFit="1" customWidth="1"/>
    <col min="5" max="5" width="5" style="641" bestFit="1" customWidth="1"/>
    <col min="6" max="6" width="3.265625" style="641" bestFit="1" customWidth="1"/>
    <col min="7" max="7" width="3.59765625" style="641" bestFit="1" customWidth="1"/>
    <col min="8" max="8" width="4.73046875" style="641" bestFit="1" customWidth="1"/>
    <col min="9" max="9" width="2" style="641" bestFit="1" customWidth="1"/>
    <col min="10" max="10" width="12.73046875" style="641" customWidth="1"/>
    <col min="11" max="11" width="19.265625" style="641" customWidth="1"/>
    <col min="12" max="12" width="24" style="641" bestFit="1" customWidth="1"/>
    <col min="13" max="13" width="27.3984375" style="641" bestFit="1" customWidth="1"/>
    <col min="14" max="25" width="11.265625" style="641" customWidth="1"/>
    <col min="26" max="27" width="9.1328125" style="641"/>
    <col min="28" max="28" width="14.59765625" style="641" customWidth="1"/>
    <col min="29" max="29" width="23" style="641" bestFit="1" customWidth="1"/>
    <col min="30" max="30" width="9.1328125" style="641"/>
    <col min="31" max="31" width="23" style="641" bestFit="1" customWidth="1"/>
    <col min="32" max="16384" width="9.1328125" style="641"/>
  </cols>
  <sheetData>
    <row r="1" spans="1:31" ht="13.2" x14ac:dyDescent="0.4">
      <c r="A1" s="942" t="s">
        <v>1142</v>
      </c>
      <c r="B1" s="942"/>
      <c r="C1" s="942"/>
      <c r="D1" s="942"/>
      <c r="E1" s="942"/>
      <c r="F1" s="942"/>
      <c r="G1" s="942"/>
      <c r="H1" s="942"/>
      <c r="I1" s="943" t="s">
        <v>1143</v>
      </c>
      <c r="J1" s="943"/>
      <c r="K1" s="943"/>
      <c r="L1" s="941" t="s">
        <v>1144</v>
      </c>
      <c r="M1" s="941"/>
      <c r="N1" s="941"/>
      <c r="O1" s="941"/>
      <c r="P1" s="941"/>
      <c r="Q1" s="941"/>
      <c r="R1" s="941"/>
      <c r="S1" s="941"/>
      <c r="T1" s="941"/>
      <c r="U1" s="941"/>
      <c r="V1" s="941"/>
      <c r="W1" s="941"/>
      <c r="X1" s="941"/>
      <c r="Y1" s="941"/>
      <c r="Z1" s="941"/>
      <c r="AB1" s="941" t="s">
        <v>1149</v>
      </c>
      <c r="AC1" s="941"/>
      <c r="AE1" s="823" t="s">
        <v>1149</v>
      </c>
    </row>
    <row r="2" spans="1:31" ht="13.2" x14ac:dyDescent="0.4">
      <c r="A2" s="641" t="s">
        <v>165</v>
      </c>
      <c r="B2" s="641" t="s">
        <v>584</v>
      </c>
      <c r="C2" s="641" t="s">
        <v>248</v>
      </c>
      <c r="D2" s="641" t="s">
        <v>249</v>
      </c>
      <c r="E2" s="641" t="s">
        <v>241</v>
      </c>
      <c r="F2" s="641" t="s">
        <v>250</v>
      </c>
      <c r="G2" s="641" t="s">
        <v>251</v>
      </c>
      <c r="H2" s="641" t="s">
        <v>583</v>
      </c>
      <c r="J2" s="641" t="s">
        <v>356</v>
      </c>
      <c r="K2" s="641" t="s">
        <v>636</v>
      </c>
      <c r="L2" s="652" t="s">
        <v>1119</v>
      </c>
      <c r="M2" s="652" t="s">
        <v>307</v>
      </c>
      <c r="N2" s="652" t="s">
        <v>248</v>
      </c>
      <c r="O2" s="652" t="s">
        <v>249</v>
      </c>
      <c r="P2" s="652" t="s">
        <v>250</v>
      </c>
      <c r="Q2" s="652" t="s">
        <v>251</v>
      </c>
      <c r="R2" s="652" t="s">
        <v>583</v>
      </c>
      <c r="S2" s="652" t="s">
        <v>246</v>
      </c>
      <c r="T2" s="652" t="s">
        <v>584</v>
      </c>
      <c r="U2" s="652" t="s">
        <v>585</v>
      </c>
      <c r="V2" s="652" t="s">
        <v>586</v>
      </c>
      <c r="W2" s="652" t="s">
        <v>637</v>
      </c>
      <c r="X2" s="652" t="s">
        <v>595</v>
      </c>
      <c r="Y2" s="652" t="s">
        <v>983</v>
      </c>
      <c r="Z2" s="652" t="s">
        <v>1073</v>
      </c>
      <c r="AB2" s="753" t="s">
        <v>965</v>
      </c>
      <c r="AC2" s="753" t="s">
        <v>966</v>
      </c>
      <c r="AE2" s="824"/>
    </row>
    <row r="3" spans="1:31" x14ac:dyDescent="0.35">
      <c r="I3" s="641">
        <v>1</v>
      </c>
      <c r="AE3" s="824" t="s">
        <v>618</v>
      </c>
    </row>
    <row r="4" spans="1:31" x14ac:dyDescent="0.35">
      <c r="A4" s="641" t="s">
        <v>640</v>
      </c>
      <c r="B4" s="641">
        <v>0.05</v>
      </c>
      <c r="I4" s="641">
        <v>2</v>
      </c>
      <c r="J4" s="641" t="s">
        <v>641</v>
      </c>
      <c r="K4" s="641">
        <v>1.44</v>
      </c>
      <c r="L4" s="641" t="s">
        <v>179</v>
      </c>
      <c r="M4" s="641" t="s">
        <v>179</v>
      </c>
      <c r="N4" s="683">
        <f t="shared" ref="N4:N19" si="0">VLOOKUP(M4,tblVoedingBasislijst,6,FALSE)*tblOmrekenNA/100</f>
        <v>8.6956000000000012E-3</v>
      </c>
      <c r="O4" s="683">
        <f t="shared" ref="O4:O19" si="1">VLOOKUP(M4,tblVoedingBasislijst,7,FALSE)*tblOmrekenK/100</f>
        <v>1.2820500000000002E-2</v>
      </c>
      <c r="P4" s="683">
        <f t="shared" ref="P4:P19" si="2">VLOOKUP(M4,tblVoedingBasislijst,8,FALSE)*tblOmrekenCa/100</f>
        <v>7.4700000000000001E-3</v>
      </c>
      <c r="Q4" s="683">
        <f t="shared" ref="Q4:Q19" si="3">VLOOKUP(M4,tblVoedingBasislijst,10,FALSE)*tblOmrekenMg/100</f>
        <v>1.23423E-3</v>
      </c>
      <c r="R4" s="683">
        <f t="shared" ref="R4:R19" si="4">VLOOKUP(M4,tblVoedingBasislijst,9,FALSE)*tblOmrekenP/100</f>
        <v>4.8433499999999997E-3</v>
      </c>
      <c r="S4" s="683">
        <f t="shared" ref="S4:S19" si="5">VLOOKUP(M4,tblVoedingBasislijst,3,FALSE)/100</f>
        <v>0.01</v>
      </c>
      <c r="T4" s="683">
        <f t="shared" ref="T4:T19" si="6">VLOOKUP(M4,tblVoedingBasislijst,4,FALSE)/100</f>
        <v>7.0000000000000007E-2</v>
      </c>
      <c r="U4" s="683">
        <f t="shared" ref="U4:U19" si="7">VLOOKUP(M4,tblVoedingBasislijst,5,FALSE)/100</f>
        <v>0.04</v>
      </c>
      <c r="V4" s="683">
        <f t="shared" ref="V4:V19" si="8">VLOOKUP(M4,tblVoedingBasislijst,2,FALSE)/100</f>
        <v>0.68</v>
      </c>
      <c r="W4" s="683">
        <f t="shared" ref="W4:W19" si="9">VLOOKUP(M4,tblVoedingBasislijst,13,FALSE)*tblOmrekenCl/100</f>
        <v>1.212858E-2</v>
      </c>
      <c r="X4" s="683">
        <f t="shared" ref="X4:X19" si="10">VLOOKUP(M4,tblVoedingBasislijst,12,FALSE)*tblOmrekenVitD/100</f>
        <v>0</v>
      </c>
      <c r="Y4" s="683">
        <f t="shared" ref="Y4:Y19" si="11">VLOOKUP(M4,tblVoedingBasislijst,11,FALSE)*tblOmrekenFe/100</f>
        <v>1.7899999999999998E-5</v>
      </c>
      <c r="Z4" s="683" t="s">
        <v>179</v>
      </c>
      <c r="AA4" s="683"/>
      <c r="AB4" s="641">
        <v>2.2000000000000002</v>
      </c>
      <c r="AC4" s="641">
        <v>0.5</v>
      </c>
      <c r="AE4" s="824" t="s">
        <v>1184</v>
      </c>
    </row>
    <row r="5" spans="1:31" x14ac:dyDescent="0.35">
      <c r="A5" s="641" t="s">
        <v>645</v>
      </c>
      <c r="B5" s="641">
        <v>0.1</v>
      </c>
      <c r="I5" s="641">
        <v>3</v>
      </c>
      <c r="J5" s="641" t="s">
        <v>388</v>
      </c>
      <c r="K5" s="641">
        <v>1</v>
      </c>
      <c r="L5" s="641" t="s">
        <v>988</v>
      </c>
      <c r="M5" s="641" t="s">
        <v>988</v>
      </c>
      <c r="N5" s="683">
        <f t="shared" si="0"/>
        <v>3.0434599999999999E-2</v>
      </c>
      <c r="O5" s="683">
        <f t="shared" si="1"/>
        <v>2.0512800000000001E-2</v>
      </c>
      <c r="P5" s="683">
        <f t="shared" si="2"/>
        <v>2.4899999999999999E-2</v>
      </c>
      <c r="Q5" s="683">
        <f t="shared" si="3"/>
        <v>3.2912799999999997E-3</v>
      </c>
      <c r="R5" s="683">
        <f t="shared" si="4"/>
        <v>1.8081839999999998E-2</v>
      </c>
      <c r="S5" s="683">
        <f t="shared" si="5"/>
        <v>2.6000000000000002E-2</v>
      </c>
      <c r="T5" s="683">
        <f t="shared" si="6"/>
        <v>8.4000000000000005E-2</v>
      </c>
      <c r="U5" s="683">
        <f t="shared" si="7"/>
        <v>3.9E-2</v>
      </c>
      <c r="V5" s="683">
        <f t="shared" si="8"/>
        <v>0.8</v>
      </c>
      <c r="W5" s="683">
        <f t="shared" si="9"/>
        <v>2.3975099999999999E-2</v>
      </c>
      <c r="X5" s="683">
        <f t="shared" si="10"/>
        <v>1.2</v>
      </c>
      <c r="Y5" s="683">
        <f t="shared" si="11"/>
        <v>2.8639999999999997E-4</v>
      </c>
      <c r="Z5" s="683" t="s">
        <v>1074</v>
      </c>
      <c r="AA5" s="683"/>
      <c r="AB5" s="641">
        <v>4.4000000000000004</v>
      </c>
      <c r="AC5" s="641">
        <v>1</v>
      </c>
    </row>
    <row r="6" spans="1:31" x14ac:dyDescent="0.35">
      <c r="A6" s="641" t="s">
        <v>648</v>
      </c>
      <c r="B6" s="641">
        <v>0.15</v>
      </c>
      <c r="I6" s="641">
        <v>4</v>
      </c>
      <c r="J6" s="641" t="s">
        <v>512</v>
      </c>
      <c r="K6" s="641">
        <v>1440</v>
      </c>
      <c r="L6" s="641" t="s">
        <v>989</v>
      </c>
      <c r="M6" s="641" t="s">
        <v>989</v>
      </c>
      <c r="N6" s="683">
        <f t="shared" si="0"/>
        <v>1.217384E-2</v>
      </c>
      <c r="O6" s="683">
        <f t="shared" si="1"/>
        <v>1.9743570000000002E-2</v>
      </c>
      <c r="P6" s="683">
        <f t="shared" si="2"/>
        <v>2.1662999999999998E-2</v>
      </c>
      <c r="Q6" s="683">
        <f t="shared" si="3"/>
        <v>2.8798700000000001E-3</v>
      </c>
      <c r="R6" s="683">
        <f t="shared" si="4"/>
        <v>1.517583E-2</v>
      </c>
      <c r="S6" s="683">
        <f t="shared" si="5"/>
        <v>0.02</v>
      </c>
      <c r="T6" s="683">
        <f t="shared" si="6"/>
        <v>7.4999999999999997E-2</v>
      </c>
      <c r="U6" s="683">
        <f t="shared" si="7"/>
        <v>0.04</v>
      </c>
      <c r="V6" s="683">
        <f t="shared" si="8"/>
        <v>0.75</v>
      </c>
      <c r="W6" s="683">
        <f t="shared" si="9"/>
        <v>1.5513299999999999E-2</v>
      </c>
      <c r="X6" s="683">
        <f t="shared" si="10"/>
        <v>0.68</v>
      </c>
      <c r="Y6" s="683">
        <f t="shared" si="11"/>
        <v>2.1479999999999999E-4</v>
      </c>
      <c r="Z6" s="683" t="s">
        <v>1074</v>
      </c>
      <c r="AA6" s="683"/>
      <c r="AC6" s="641">
        <v>1.5</v>
      </c>
    </row>
    <row r="7" spans="1:31" x14ac:dyDescent="0.35">
      <c r="A7" s="641" t="s">
        <v>650</v>
      </c>
      <c r="B7" s="641">
        <v>0.2</v>
      </c>
      <c r="I7" s="641">
        <v>5</v>
      </c>
      <c r="J7" s="641" t="s">
        <v>387</v>
      </c>
      <c r="K7" s="641">
        <v>24</v>
      </c>
      <c r="L7" s="641" t="s">
        <v>642</v>
      </c>
      <c r="M7" s="641" t="s">
        <v>642</v>
      </c>
      <c r="N7" s="683">
        <f t="shared" si="0"/>
        <v>7.3912600000000002E-3</v>
      </c>
      <c r="O7" s="683">
        <f t="shared" si="1"/>
        <v>1.7435880000000001E-2</v>
      </c>
      <c r="P7" s="683">
        <f t="shared" si="2"/>
        <v>1.4193000000000001E-2</v>
      </c>
      <c r="Q7" s="683">
        <f t="shared" si="3"/>
        <v>2.0981909999999997E-3</v>
      </c>
      <c r="R7" s="683">
        <f t="shared" si="4"/>
        <v>1.033248E-2</v>
      </c>
      <c r="S7" s="683">
        <f t="shared" si="5"/>
        <v>1.3000000000000001E-2</v>
      </c>
      <c r="T7" s="683">
        <f t="shared" si="6"/>
        <v>7.2999999999999995E-2</v>
      </c>
      <c r="U7" s="683">
        <f t="shared" si="7"/>
        <v>3.4000000000000002E-2</v>
      </c>
      <c r="V7" s="683">
        <f t="shared" si="8"/>
        <v>0.66</v>
      </c>
      <c r="W7" s="683">
        <f t="shared" si="9"/>
        <v>1.1846520000000001E-2</v>
      </c>
      <c r="X7" s="683">
        <f t="shared" si="10"/>
        <v>3.48</v>
      </c>
      <c r="Y7" s="683">
        <f t="shared" si="11"/>
        <v>6.981E-4</v>
      </c>
      <c r="Z7" s="683" t="s">
        <v>1074</v>
      </c>
      <c r="AA7" s="683"/>
      <c r="AC7" s="641">
        <v>2</v>
      </c>
    </row>
    <row r="8" spans="1:31" x14ac:dyDescent="0.35">
      <c r="A8" s="641" t="s">
        <v>652</v>
      </c>
      <c r="B8" s="641">
        <v>0.25</v>
      </c>
      <c r="I8" s="641">
        <v>6</v>
      </c>
      <c r="J8" s="641" t="s">
        <v>448</v>
      </c>
      <c r="K8" s="641">
        <v>1.4400000000000001E-3</v>
      </c>
      <c r="L8" s="641" t="s">
        <v>1053</v>
      </c>
      <c r="M8" s="641" t="s">
        <v>1053</v>
      </c>
      <c r="N8" s="683">
        <f t="shared" si="0"/>
        <v>9.9999400000000006E-3</v>
      </c>
      <c r="O8" s="683">
        <f t="shared" si="1"/>
        <v>1.8974339999999999E-2</v>
      </c>
      <c r="P8" s="683">
        <f t="shared" si="2"/>
        <v>1.6184999999999998E-2</v>
      </c>
      <c r="Q8" s="683">
        <f t="shared" si="3"/>
        <v>1.974768E-3</v>
      </c>
      <c r="R8" s="683">
        <f t="shared" si="4"/>
        <v>1.162404E-2</v>
      </c>
      <c r="S8" s="683">
        <f t="shared" si="5"/>
        <v>1.3999999999999999E-2</v>
      </c>
      <c r="T8" s="683">
        <f t="shared" si="6"/>
        <v>8.5999999999999993E-2</v>
      </c>
      <c r="U8" s="683">
        <f t="shared" si="7"/>
        <v>0.03</v>
      </c>
      <c r="V8" s="683">
        <f t="shared" si="8"/>
        <v>0.68</v>
      </c>
      <c r="W8" s="683">
        <f t="shared" si="9"/>
        <v>1.3256820000000001E-2</v>
      </c>
      <c r="X8" s="683">
        <f t="shared" si="10"/>
        <v>0.56000000000000005</v>
      </c>
      <c r="Y8" s="683">
        <f t="shared" si="11"/>
        <v>1.253E-3</v>
      </c>
      <c r="Z8" s="683" t="s">
        <v>1074</v>
      </c>
      <c r="AA8" s="683"/>
      <c r="AC8" s="641">
        <v>2.5</v>
      </c>
    </row>
    <row r="9" spans="1:31" x14ac:dyDescent="0.35">
      <c r="A9" s="641" t="s">
        <v>654</v>
      </c>
      <c r="B9" s="641">
        <v>0.3</v>
      </c>
      <c r="I9" s="641">
        <v>7</v>
      </c>
      <c r="J9" s="641" t="s">
        <v>802</v>
      </c>
      <c r="K9" s="641">
        <v>2.4E-2</v>
      </c>
      <c r="L9" s="641" t="s">
        <v>1054</v>
      </c>
      <c r="M9" s="641" t="s">
        <v>1054</v>
      </c>
      <c r="N9" s="683">
        <f t="shared" si="0"/>
        <v>8.6956000000000012E-3</v>
      </c>
      <c r="O9" s="683">
        <f t="shared" si="1"/>
        <v>1.2820500000000002E-2</v>
      </c>
      <c r="P9" s="683">
        <f t="shared" si="2"/>
        <v>7.4700000000000001E-3</v>
      </c>
      <c r="Q9" s="683">
        <f t="shared" si="3"/>
        <v>1.23423E-3</v>
      </c>
      <c r="R9" s="683">
        <f t="shared" si="4"/>
        <v>4.8433499999999997E-3</v>
      </c>
      <c r="S9" s="683">
        <f t="shared" si="5"/>
        <v>0.01</v>
      </c>
      <c r="T9" s="683">
        <f t="shared" si="6"/>
        <v>7.0000000000000007E-2</v>
      </c>
      <c r="U9" s="683">
        <f t="shared" si="7"/>
        <v>0.04</v>
      </c>
      <c r="V9" s="683">
        <f t="shared" si="8"/>
        <v>0.68</v>
      </c>
      <c r="W9" s="683">
        <f t="shared" si="9"/>
        <v>1.212858E-2</v>
      </c>
      <c r="X9" s="683">
        <f t="shared" si="10"/>
        <v>0</v>
      </c>
      <c r="Y9" s="683">
        <f t="shared" si="11"/>
        <v>1.7899999999999998E-5</v>
      </c>
      <c r="Z9" s="683" t="s">
        <v>179</v>
      </c>
      <c r="AA9" s="683"/>
      <c r="AC9" s="641">
        <v>3</v>
      </c>
    </row>
    <row r="10" spans="1:31" x14ac:dyDescent="0.35">
      <c r="A10" s="641" t="s">
        <v>656</v>
      </c>
      <c r="B10" s="641">
        <v>0.35</v>
      </c>
      <c r="I10" s="641">
        <v>8</v>
      </c>
      <c r="J10" s="641" t="s">
        <v>389</v>
      </c>
      <c r="K10" s="641">
        <v>1</v>
      </c>
      <c r="L10" s="641" t="s">
        <v>1055</v>
      </c>
      <c r="M10" s="641" t="s">
        <v>1055</v>
      </c>
      <c r="N10" s="683">
        <f t="shared" si="0"/>
        <v>8.6956000000000012E-3</v>
      </c>
      <c r="O10" s="683">
        <f t="shared" si="1"/>
        <v>1.2820500000000002E-2</v>
      </c>
      <c r="P10" s="683">
        <f t="shared" si="2"/>
        <v>7.4700000000000001E-3</v>
      </c>
      <c r="Q10" s="683">
        <f t="shared" si="3"/>
        <v>1.23423E-3</v>
      </c>
      <c r="R10" s="683">
        <f t="shared" si="4"/>
        <v>4.8433499999999997E-3</v>
      </c>
      <c r="S10" s="683">
        <f t="shared" si="5"/>
        <v>0.01</v>
      </c>
      <c r="T10" s="683">
        <f t="shared" si="6"/>
        <v>7.0000000000000007E-2</v>
      </c>
      <c r="U10" s="683">
        <f t="shared" si="7"/>
        <v>0.04</v>
      </c>
      <c r="V10" s="683">
        <f t="shared" si="8"/>
        <v>0.68</v>
      </c>
      <c r="W10" s="683">
        <f t="shared" si="9"/>
        <v>1.212858E-2</v>
      </c>
      <c r="X10" s="683">
        <f t="shared" si="10"/>
        <v>0</v>
      </c>
      <c r="Y10" s="683">
        <f t="shared" si="11"/>
        <v>1.7899999999999998E-5</v>
      </c>
      <c r="Z10" s="683" t="s">
        <v>179</v>
      </c>
      <c r="AA10" s="683"/>
      <c r="AC10" s="641">
        <v>3.5</v>
      </c>
    </row>
    <row r="11" spans="1:31" x14ac:dyDescent="0.35">
      <c r="A11" s="641" t="s">
        <v>657</v>
      </c>
      <c r="B11" s="641">
        <v>0.4</v>
      </c>
      <c r="I11" s="641">
        <v>9</v>
      </c>
      <c r="J11" s="263" t="s">
        <v>71</v>
      </c>
      <c r="K11" s="641">
        <v>24</v>
      </c>
      <c r="L11" s="641" t="s">
        <v>1056</v>
      </c>
      <c r="M11" s="641" t="s">
        <v>1056</v>
      </c>
      <c r="N11" s="683">
        <f t="shared" si="0"/>
        <v>8.6956000000000012E-3</v>
      </c>
      <c r="O11" s="683">
        <f t="shared" si="1"/>
        <v>1.2820500000000002E-2</v>
      </c>
      <c r="P11" s="683">
        <f t="shared" si="2"/>
        <v>7.4700000000000001E-3</v>
      </c>
      <c r="Q11" s="683">
        <f t="shared" si="3"/>
        <v>1.23423E-3</v>
      </c>
      <c r="R11" s="683">
        <f t="shared" si="4"/>
        <v>4.8433499999999997E-3</v>
      </c>
      <c r="S11" s="683">
        <f t="shared" si="5"/>
        <v>0.01</v>
      </c>
      <c r="T11" s="683">
        <f t="shared" si="6"/>
        <v>7.0000000000000007E-2</v>
      </c>
      <c r="U11" s="683">
        <f t="shared" si="7"/>
        <v>0.04</v>
      </c>
      <c r="V11" s="683">
        <f t="shared" si="8"/>
        <v>0.68</v>
      </c>
      <c r="W11" s="683">
        <f t="shared" si="9"/>
        <v>1.212858E-2</v>
      </c>
      <c r="X11" s="683">
        <f t="shared" si="10"/>
        <v>0</v>
      </c>
      <c r="Y11" s="683">
        <f t="shared" si="11"/>
        <v>1.7899999999999998E-5</v>
      </c>
      <c r="Z11" s="683" t="s">
        <v>179</v>
      </c>
      <c r="AA11" s="683"/>
      <c r="AC11" s="641">
        <v>4</v>
      </c>
    </row>
    <row r="12" spans="1:31" x14ac:dyDescent="0.35">
      <c r="A12" s="641" t="s">
        <v>658</v>
      </c>
      <c r="B12" s="641">
        <v>0.45</v>
      </c>
      <c r="L12" s="641" t="s">
        <v>1057</v>
      </c>
      <c r="M12" s="641" t="s">
        <v>1057</v>
      </c>
      <c r="N12" s="683">
        <f t="shared" si="0"/>
        <v>8.6956000000000012E-3</v>
      </c>
      <c r="O12" s="683">
        <f t="shared" si="1"/>
        <v>1.2820500000000002E-2</v>
      </c>
      <c r="P12" s="683">
        <f t="shared" si="2"/>
        <v>7.4700000000000001E-3</v>
      </c>
      <c r="Q12" s="683">
        <f t="shared" si="3"/>
        <v>1.23423E-3</v>
      </c>
      <c r="R12" s="683">
        <f t="shared" si="4"/>
        <v>4.8433499999999997E-3</v>
      </c>
      <c r="S12" s="683">
        <f t="shared" si="5"/>
        <v>0.01</v>
      </c>
      <c r="T12" s="683">
        <f t="shared" si="6"/>
        <v>7.0000000000000007E-2</v>
      </c>
      <c r="U12" s="683">
        <f t="shared" si="7"/>
        <v>0.04</v>
      </c>
      <c r="V12" s="683">
        <f t="shared" si="8"/>
        <v>0.68</v>
      </c>
      <c r="W12" s="683">
        <f t="shared" si="9"/>
        <v>1.212858E-2</v>
      </c>
      <c r="X12" s="683">
        <f t="shared" si="10"/>
        <v>0</v>
      </c>
      <c r="Y12" s="683">
        <f t="shared" si="11"/>
        <v>1.7899999999999998E-5</v>
      </c>
      <c r="Z12" s="683" t="s">
        <v>179</v>
      </c>
      <c r="AA12" s="683"/>
      <c r="AC12" s="641">
        <v>4.5</v>
      </c>
    </row>
    <row r="13" spans="1:31" x14ac:dyDescent="0.35">
      <c r="A13" s="641" t="s">
        <v>659</v>
      </c>
      <c r="B13" s="641">
        <v>0.5</v>
      </c>
      <c r="L13" s="641" t="s">
        <v>1058</v>
      </c>
      <c r="M13" s="641" t="s">
        <v>1058</v>
      </c>
      <c r="N13" s="683">
        <f t="shared" si="0"/>
        <v>8.6956000000000012E-3</v>
      </c>
      <c r="O13" s="683">
        <f t="shared" si="1"/>
        <v>1.2820500000000002E-2</v>
      </c>
      <c r="P13" s="683">
        <f t="shared" si="2"/>
        <v>7.4700000000000001E-3</v>
      </c>
      <c r="Q13" s="683">
        <f t="shared" si="3"/>
        <v>1.23423E-3</v>
      </c>
      <c r="R13" s="683">
        <f t="shared" si="4"/>
        <v>4.8433499999999997E-3</v>
      </c>
      <c r="S13" s="683">
        <f t="shared" si="5"/>
        <v>0.01</v>
      </c>
      <c r="T13" s="683">
        <f t="shared" si="6"/>
        <v>7.0000000000000007E-2</v>
      </c>
      <c r="U13" s="683">
        <f t="shared" si="7"/>
        <v>0.04</v>
      </c>
      <c r="V13" s="683">
        <f t="shared" si="8"/>
        <v>0.68</v>
      </c>
      <c r="W13" s="683">
        <f t="shared" si="9"/>
        <v>1.212858E-2</v>
      </c>
      <c r="X13" s="683">
        <f t="shared" si="10"/>
        <v>0</v>
      </c>
      <c r="Y13" s="683">
        <f t="shared" si="11"/>
        <v>1.7899999999999998E-5</v>
      </c>
      <c r="Z13" s="683" t="s">
        <v>179</v>
      </c>
      <c r="AA13" s="683"/>
      <c r="AC13" s="641">
        <v>5</v>
      </c>
    </row>
    <row r="14" spans="1:31" x14ac:dyDescent="0.35">
      <c r="A14" s="641" t="s">
        <v>333</v>
      </c>
      <c r="C14" s="641">
        <v>0.155</v>
      </c>
      <c r="L14" s="641" t="s">
        <v>1059</v>
      </c>
      <c r="M14" s="641" t="s">
        <v>1059</v>
      </c>
      <c r="N14" s="683">
        <f t="shared" si="0"/>
        <v>8.6956000000000012E-3</v>
      </c>
      <c r="O14" s="683">
        <f t="shared" si="1"/>
        <v>1.2820500000000002E-2</v>
      </c>
      <c r="P14" s="683">
        <f t="shared" si="2"/>
        <v>7.4700000000000001E-3</v>
      </c>
      <c r="Q14" s="683">
        <f t="shared" si="3"/>
        <v>1.23423E-3</v>
      </c>
      <c r="R14" s="683">
        <f t="shared" si="4"/>
        <v>4.8433499999999997E-3</v>
      </c>
      <c r="S14" s="683">
        <f t="shared" si="5"/>
        <v>0.01</v>
      </c>
      <c r="T14" s="683">
        <f t="shared" si="6"/>
        <v>7.0000000000000007E-2</v>
      </c>
      <c r="U14" s="683">
        <f t="shared" si="7"/>
        <v>0.04</v>
      </c>
      <c r="V14" s="683">
        <f t="shared" si="8"/>
        <v>0.68</v>
      </c>
      <c r="W14" s="683">
        <f t="shared" si="9"/>
        <v>1.212858E-2</v>
      </c>
      <c r="X14" s="683">
        <f t="shared" si="10"/>
        <v>0</v>
      </c>
      <c r="Y14" s="683">
        <f t="shared" si="11"/>
        <v>1.7899999999999998E-5</v>
      </c>
      <c r="Z14" s="683" t="s">
        <v>179</v>
      </c>
      <c r="AA14" s="683"/>
    </row>
    <row r="15" spans="1:31" x14ac:dyDescent="0.35">
      <c r="A15" s="641" t="s">
        <v>662</v>
      </c>
      <c r="C15" s="641">
        <v>0.5</v>
      </c>
      <c r="L15" s="641" t="s">
        <v>990</v>
      </c>
      <c r="M15" s="641" t="s">
        <v>990</v>
      </c>
      <c r="N15" s="683">
        <f t="shared" si="0"/>
        <v>1.0869500000000001E-2</v>
      </c>
      <c r="O15" s="683">
        <f t="shared" si="1"/>
        <v>1.8717930000000001E-2</v>
      </c>
      <c r="P15" s="683">
        <f t="shared" si="2"/>
        <v>1.1453999999999999E-2</v>
      </c>
      <c r="Q15" s="683">
        <f t="shared" si="3"/>
        <v>2.0981909999999997E-3</v>
      </c>
      <c r="R15" s="683">
        <f t="shared" si="4"/>
        <v>8.3951400000000006E-3</v>
      </c>
      <c r="S15" s="683">
        <f t="shared" si="5"/>
        <v>1.4999999999999999E-2</v>
      </c>
      <c r="T15" s="683">
        <f t="shared" si="6"/>
        <v>7.2000000000000008E-2</v>
      </c>
      <c r="U15" s="683">
        <f t="shared" si="7"/>
        <v>3.4000000000000002E-2</v>
      </c>
      <c r="V15" s="683">
        <f t="shared" si="8"/>
        <v>0.66</v>
      </c>
      <c r="W15" s="683">
        <f t="shared" si="9"/>
        <v>1.1564459999999999E-2</v>
      </c>
      <c r="X15" s="683">
        <f t="shared" si="10"/>
        <v>0.48</v>
      </c>
      <c r="Y15" s="683">
        <f t="shared" si="11"/>
        <v>9.4870000000000005E-5</v>
      </c>
      <c r="Z15" s="683" t="s">
        <v>1074</v>
      </c>
      <c r="AA15" s="683"/>
    </row>
    <row r="16" spans="1:31" x14ac:dyDescent="0.35">
      <c r="A16" s="641" t="s">
        <v>56</v>
      </c>
      <c r="C16" s="641">
        <v>1</v>
      </c>
      <c r="L16" s="641" t="s">
        <v>1067</v>
      </c>
      <c r="M16" s="641" t="s">
        <v>1067</v>
      </c>
      <c r="N16" s="683">
        <f t="shared" si="0"/>
        <v>8.826034E-3</v>
      </c>
      <c r="O16" s="683">
        <f t="shared" si="1"/>
        <v>1.7179470000000002E-2</v>
      </c>
      <c r="P16" s="683">
        <f t="shared" si="2"/>
        <v>1.3271699999999999E-2</v>
      </c>
      <c r="Q16" s="683">
        <f t="shared" si="3"/>
        <v>3.2912799999999994E-5</v>
      </c>
      <c r="R16" s="683">
        <f t="shared" si="4"/>
        <v>9.4283879999999994E-3</v>
      </c>
      <c r="S16" s="683">
        <f t="shared" si="5"/>
        <v>1.4999999999999999E-2</v>
      </c>
      <c r="T16" s="683">
        <f t="shared" si="6"/>
        <v>7.0000000000000007E-2</v>
      </c>
      <c r="U16" s="683">
        <f t="shared" si="7"/>
        <v>3.6000000000000004E-2</v>
      </c>
      <c r="V16" s="683">
        <f t="shared" si="8"/>
        <v>0.66299999999999992</v>
      </c>
      <c r="W16" s="683">
        <f t="shared" si="9"/>
        <v>1.12824E-2</v>
      </c>
      <c r="X16" s="683">
        <f t="shared" si="10"/>
        <v>0.76</v>
      </c>
      <c r="Y16" s="683">
        <f t="shared" si="11"/>
        <v>9.1290000000000002E-5</v>
      </c>
      <c r="Z16" s="683" t="s">
        <v>1074</v>
      </c>
      <c r="AA16" s="683"/>
    </row>
    <row r="17" spans="1:27" x14ac:dyDescent="0.35">
      <c r="A17" s="641" t="s">
        <v>359</v>
      </c>
      <c r="C17" s="641">
        <v>0.5</v>
      </c>
      <c r="L17" s="641" t="s">
        <v>991</v>
      </c>
      <c r="M17" s="641" t="s">
        <v>991</v>
      </c>
      <c r="N17" s="683">
        <f t="shared" si="0"/>
        <v>1.1347758000000001E-2</v>
      </c>
      <c r="O17" s="683">
        <f t="shared" si="1"/>
        <v>1.8589725000000001E-2</v>
      </c>
      <c r="P17" s="683">
        <f t="shared" si="2"/>
        <v>1.6334399999999999E-2</v>
      </c>
      <c r="Q17" s="683">
        <f t="shared" si="3"/>
        <v>2.8798700000000001E-3</v>
      </c>
      <c r="R17" s="683">
        <f t="shared" si="4"/>
        <v>1.5208118999999999E-2</v>
      </c>
      <c r="S17" s="683">
        <f t="shared" si="5"/>
        <v>1.8000000000000002E-2</v>
      </c>
      <c r="T17" s="683">
        <f t="shared" si="6"/>
        <v>7.2000000000000008E-2</v>
      </c>
      <c r="U17" s="683">
        <f t="shared" si="7"/>
        <v>3.4000000000000002E-2</v>
      </c>
      <c r="V17" s="683">
        <f t="shared" si="8"/>
        <v>0.67</v>
      </c>
      <c r="W17" s="683">
        <f t="shared" si="9"/>
        <v>1.5033797999999998E-2</v>
      </c>
      <c r="X17" s="683">
        <f t="shared" si="10"/>
        <v>0.48</v>
      </c>
      <c r="Y17" s="683">
        <f t="shared" si="11"/>
        <v>1.7899999999999999E-4</v>
      </c>
      <c r="Z17" s="683" t="s">
        <v>1074</v>
      </c>
      <c r="AA17" s="683"/>
    </row>
    <row r="18" spans="1:27" x14ac:dyDescent="0.35">
      <c r="A18" s="641" t="s">
        <v>797</v>
      </c>
      <c r="L18" s="641" t="s">
        <v>1070</v>
      </c>
      <c r="M18" s="641" t="s">
        <v>1070</v>
      </c>
      <c r="N18" s="683">
        <f t="shared" si="0"/>
        <v>8.6956000000000012E-3</v>
      </c>
      <c r="O18" s="683">
        <f t="shared" si="1"/>
        <v>2.076921E-2</v>
      </c>
      <c r="P18" s="683">
        <f t="shared" si="2"/>
        <v>1.1702999999999998E-2</v>
      </c>
      <c r="Q18" s="683">
        <f t="shared" si="3"/>
        <v>2.1804729999999996E-3</v>
      </c>
      <c r="R18" s="683">
        <f t="shared" si="4"/>
        <v>8.3951400000000006E-3</v>
      </c>
      <c r="S18" s="683">
        <f t="shared" si="5"/>
        <v>1.6E-2</v>
      </c>
      <c r="T18" s="683">
        <f t="shared" si="6"/>
        <v>7.0000000000000007E-2</v>
      </c>
      <c r="U18" s="683">
        <f t="shared" si="7"/>
        <v>3.5000000000000003E-2</v>
      </c>
      <c r="V18" s="683">
        <f t="shared" si="8"/>
        <v>0.67</v>
      </c>
      <c r="W18" s="683">
        <f t="shared" si="9"/>
        <v>1.12824E-2</v>
      </c>
      <c r="X18" s="683">
        <f t="shared" si="10"/>
        <v>0.52</v>
      </c>
      <c r="Y18" s="683">
        <f t="shared" si="11"/>
        <v>9.4870000000000005E-5</v>
      </c>
      <c r="Z18" s="683" t="s">
        <v>1074</v>
      </c>
      <c r="AA18" s="683"/>
    </row>
    <row r="19" spans="1:27" x14ac:dyDescent="0.35">
      <c r="L19" s="641" t="s">
        <v>993</v>
      </c>
      <c r="M19" s="641" t="s">
        <v>993</v>
      </c>
      <c r="N19" s="683">
        <f t="shared" si="0"/>
        <v>8.6956000000000012E-3</v>
      </c>
      <c r="O19" s="683">
        <f t="shared" si="1"/>
        <v>1.6666650000000002E-2</v>
      </c>
      <c r="P19" s="683">
        <f t="shared" si="2"/>
        <v>1.2449999999999999E-2</v>
      </c>
      <c r="Q19" s="683">
        <f t="shared" si="3"/>
        <v>2.46846E-3</v>
      </c>
      <c r="R19" s="683">
        <f t="shared" si="4"/>
        <v>9.6866999999999995E-3</v>
      </c>
      <c r="S19" s="683">
        <f t="shared" si="5"/>
        <v>1.3999999999999999E-2</v>
      </c>
      <c r="T19" s="683">
        <f t="shared" si="6"/>
        <v>7.2000000000000008E-2</v>
      </c>
      <c r="U19" s="683">
        <f t="shared" si="7"/>
        <v>3.5000000000000003E-2</v>
      </c>
      <c r="V19" s="683">
        <f t="shared" si="8"/>
        <v>0.66</v>
      </c>
      <c r="W19" s="683">
        <f t="shared" si="9"/>
        <v>1.1846520000000001E-2</v>
      </c>
      <c r="X19" s="683">
        <f t="shared" si="10"/>
        <v>0.48</v>
      </c>
      <c r="Y19" s="683">
        <f t="shared" si="11"/>
        <v>1.3961999999999999E-4</v>
      </c>
      <c r="Z19" s="683" t="s">
        <v>1074</v>
      </c>
      <c r="AA19" s="683"/>
    </row>
    <row r="23" spans="1:27" ht="13.2" x14ac:dyDescent="0.4">
      <c r="L23" s="941" t="s">
        <v>1147</v>
      </c>
      <c r="M23" s="941"/>
      <c r="N23" s="941"/>
      <c r="O23" s="941"/>
      <c r="P23" s="941"/>
      <c r="Q23" s="941"/>
      <c r="R23" s="941"/>
      <c r="S23" s="941"/>
      <c r="T23" s="941"/>
      <c r="U23" s="941"/>
      <c r="V23" s="941"/>
      <c r="W23" s="941"/>
      <c r="X23" s="941"/>
      <c r="Y23" s="941"/>
      <c r="Z23" s="941"/>
    </row>
    <row r="24" spans="1:27" ht="13.2" x14ac:dyDescent="0.4">
      <c r="M24" s="652" t="s">
        <v>254</v>
      </c>
      <c r="N24" s="652" t="s">
        <v>248</v>
      </c>
      <c r="O24" s="652" t="s">
        <v>249</v>
      </c>
      <c r="P24" s="652" t="s">
        <v>250</v>
      </c>
      <c r="Q24" s="652" t="s">
        <v>251</v>
      </c>
      <c r="R24" s="652" t="s">
        <v>583</v>
      </c>
      <c r="S24" s="652" t="s">
        <v>246</v>
      </c>
      <c r="T24" s="652" t="s">
        <v>584</v>
      </c>
      <c r="U24" s="652" t="s">
        <v>585</v>
      </c>
      <c r="V24" s="652" t="s">
        <v>586</v>
      </c>
    </row>
    <row r="25" spans="1:27" x14ac:dyDescent="0.35">
      <c r="M25" s="641" t="s">
        <v>357</v>
      </c>
      <c r="N25" s="641">
        <f>0.25/35</f>
        <v>7.1428571428571426E-3</v>
      </c>
      <c r="O25" s="641">
        <f>0.6/35</f>
        <v>1.7142857142857144E-2</v>
      </c>
      <c r="P25" s="641">
        <f>0.9/35</f>
        <v>2.5714285714285714E-2</v>
      </c>
      <c r="Q25" s="641">
        <f>0.2/35</f>
        <v>5.7142857142857143E-3</v>
      </c>
      <c r="R25" s="641">
        <f>0.75/35</f>
        <v>2.1428571428571429E-2</v>
      </c>
      <c r="S25" s="641">
        <f>2.6/35</f>
        <v>7.4285714285714288E-2</v>
      </c>
      <c r="T25" s="641">
        <v>0</v>
      </c>
      <c r="U25" s="641">
        <v>0</v>
      </c>
      <c r="V25" s="641">
        <v>0.28999999999999998</v>
      </c>
    </row>
    <row r="26" spans="1:27" x14ac:dyDescent="0.35">
      <c r="M26" s="641" t="s">
        <v>663</v>
      </c>
      <c r="N26" s="641">
        <f>1.9/35</f>
        <v>5.4285714285714284E-2</v>
      </c>
      <c r="O26" s="641">
        <f>2.5/35</f>
        <v>7.1428571428571425E-2</v>
      </c>
      <c r="P26" s="641">
        <f>0.225*4/35</f>
        <v>2.5714285714285714E-2</v>
      </c>
      <c r="Q26" s="641">
        <f>0.5*0.3/35</f>
        <v>4.2857142857142859E-3</v>
      </c>
      <c r="R26" s="641">
        <f>1.2/35</f>
        <v>3.4285714285714287E-2</v>
      </c>
      <c r="S26" s="641">
        <f>2.6/35</f>
        <v>7.4285714285714288E-2</v>
      </c>
      <c r="T26" s="641">
        <v>0</v>
      </c>
      <c r="U26" s="641">
        <v>0</v>
      </c>
      <c r="V26" s="641">
        <v>0.28999999999999998</v>
      </c>
    </row>
    <row r="29" spans="1:27" x14ac:dyDescent="0.35">
      <c r="N29" s="640"/>
      <c r="O29" s="640"/>
      <c r="P29" s="640"/>
      <c r="Q29" s="640"/>
      <c r="R29" s="640"/>
      <c r="S29" s="640"/>
      <c r="T29" s="640"/>
      <c r="U29" s="640"/>
      <c r="V29" s="640"/>
      <c r="W29" s="640"/>
      <c r="X29" s="640"/>
    </row>
    <row r="30" spans="1:27" x14ac:dyDescent="0.35">
      <c r="N30" s="640"/>
      <c r="O30" s="640"/>
      <c r="P30" s="640"/>
      <c r="Q30" s="640"/>
      <c r="R30" s="640"/>
      <c r="S30" s="640"/>
      <c r="T30" s="640"/>
      <c r="U30" s="640"/>
      <c r="V30" s="640"/>
      <c r="W30" s="640"/>
      <c r="X30" s="640"/>
    </row>
    <row r="31" spans="1:27" ht="13.2" x14ac:dyDescent="0.4">
      <c r="L31" s="941" t="s">
        <v>1146</v>
      </c>
      <c r="M31" s="941"/>
      <c r="N31" s="941"/>
      <c r="O31" s="941"/>
      <c r="P31" s="941"/>
      <c r="Q31" s="941"/>
      <c r="R31" s="941"/>
      <c r="S31" s="941"/>
      <c r="T31" s="941"/>
      <c r="U31" s="941"/>
      <c r="V31" s="941"/>
      <c r="W31" s="941"/>
      <c r="X31" s="941"/>
      <c r="Y31" s="941"/>
      <c r="Z31" s="941"/>
    </row>
    <row r="32" spans="1:27" ht="13.2" x14ac:dyDescent="0.4">
      <c r="M32" s="652" t="s">
        <v>967</v>
      </c>
      <c r="N32" s="652" t="s">
        <v>248</v>
      </c>
      <c r="O32" s="652" t="s">
        <v>249</v>
      </c>
      <c r="P32" s="652" t="s">
        <v>250</v>
      </c>
      <c r="Q32" s="652" t="s">
        <v>251</v>
      </c>
      <c r="R32" s="652" t="s">
        <v>583</v>
      </c>
      <c r="S32" s="652" t="s">
        <v>246</v>
      </c>
      <c r="T32" s="652" t="s">
        <v>584</v>
      </c>
      <c r="U32" s="652" t="s">
        <v>585</v>
      </c>
      <c r="V32" s="652" t="s">
        <v>586</v>
      </c>
      <c r="W32" s="661" t="s">
        <v>637</v>
      </c>
      <c r="X32" s="661" t="s">
        <v>638</v>
      </c>
      <c r="Y32" s="652" t="s">
        <v>983</v>
      </c>
    </row>
    <row r="34" spans="11:27" x14ac:dyDescent="0.35">
      <c r="L34" s="641" t="s">
        <v>587</v>
      </c>
      <c r="M34" s="641" t="s">
        <v>587</v>
      </c>
      <c r="N34" s="683">
        <f t="shared" ref="N34:N39" si="12">VLOOKUP(M34,tblVoedingPoeder,6,FALSE)*tblOmrekenNA/100</f>
        <v>8.6956000000000002E-4</v>
      </c>
      <c r="O34" s="683">
        <f t="shared" ref="O34:O39" si="13">VLOOKUP(M34,tblVoedingPoeder,7,FALSE)*tblOmrekenK/100</f>
        <v>0</v>
      </c>
      <c r="P34" s="683">
        <f t="shared" ref="P34:P39" si="14">VLOOKUP(M34,tblVoedingPoeder,8,FALSE)*tblOmrekenCa/100</f>
        <v>0</v>
      </c>
      <c r="Q34" s="683">
        <f t="shared" ref="Q34:Q39" si="15">VLOOKUP(M34,tblVoedingPoeder,10,FALSE)*tblOmrekenMg/100</f>
        <v>0</v>
      </c>
      <c r="R34" s="683">
        <f t="shared" ref="R34:R39" si="16">VLOOKUP(M34,tblVoedingPoeder,9,FALSE)*tblOmrekenP/100</f>
        <v>0</v>
      </c>
      <c r="S34" s="683">
        <f t="shared" ref="S34:S39" si="17">VLOOKUP(M34,tblVoedingPoeder,3,FALSE)/100</f>
        <v>0</v>
      </c>
      <c r="T34" s="683">
        <f t="shared" ref="T34:T39" si="18">VLOOKUP(M34,tblVoedingPoeder,4,FALSE)/100</f>
        <v>0.96</v>
      </c>
      <c r="U34" s="683">
        <f t="shared" ref="U34:U39" si="19">VLOOKUP(M34,tblVoedingPoeder,5,FALSE)/100</f>
        <v>0</v>
      </c>
      <c r="V34" s="683">
        <f t="shared" ref="V34:V39" si="20">VLOOKUP(M34,tblVoedingPoeder,2,FALSE)/100</f>
        <v>3.84</v>
      </c>
      <c r="W34" s="683">
        <f t="shared" ref="W34:W39" si="21">VLOOKUP(M34,tblVoedingPoeder,13,FALSE)*tblOmrekenCl/100</f>
        <v>0</v>
      </c>
      <c r="X34" s="683">
        <f t="shared" ref="X34:X39" si="22">VLOOKUP(M34,tblVoedingPoeder,12,FALSE)*tblOmrekenVitD/100</f>
        <v>0</v>
      </c>
      <c r="Y34" s="683">
        <f t="shared" ref="Y34:Y39" si="23">VLOOKUP(M34,tblVoedingPoeder,11,FALSE)*tblOmrekenFe/100</f>
        <v>0</v>
      </c>
    </row>
    <row r="35" spans="11:27" x14ac:dyDescent="0.35">
      <c r="L35" s="641" t="s">
        <v>643</v>
      </c>
      <c r="M35" s="641" t="s">
        <v>1118</v>
      </c>
      <c r="N35" s="683">
        <f t="shared" si="12"/>
        <v>5.43475E-2</v>
      </c>
      <c r="O35" s="683">
        <f t="shared" si="13"/>
        <v>0.12846141</v>
      </c>
      <c r="P35" s="683">
        <f t="shared" si="14"/>
        <v>0.10408199999999999</v>
      </c>
      <c r="Q35" s="683">
        <f t="shared" si="15"/>
        <v>1.522217E-2</v>
      </c>
      <c r="R35" s="683">
        <f t="shared" si="16"/>
        <v>7.6524929999999991E-2</v>
      </c>
      <c r="S35" s="683">
        <f t="shared" si="17"/>
        <v>9.6999999999999989E-2</v>
      </c>
      <c r="T35" s="683">
        <f t="shared" si="18"/>
        <v>0.53799999999999992</v>
      </c>
      <c r="U35" s="683">
        <f t="shared" si="19"/>
        <v>0.247</v>
      </c>
      <c r="V35" s="683">
        <f t="shared" si="20"/>
        <v>4.84</v>
      </c>
      <c r="W35" s="683">
        <f t="shared" si="21"/>
        <v>8.5746240000000001E-2</v>
      </c>
      <c r="X35" s="683">
        <f t="shared" si="22"/>
        <v>3.48</v>
      </c>
      <c r="Y35" s="683">
        <f t="shared" si="23"/>
        <v>6.981E-4</v>
      </c>
    </row>
    <row r="36" spans="11:27" x14ac:dyDescent="0.35">
      <c r="L36" s="641" t="s">
        <v>646</v>
      </c>
      <c r="M36" s="641" t="s">
        <v>1002</v>
      </c>
      <c r="N36" s="683">
        <f t="shared" si="12"/>
        <v>0.1804337</v>
      </c>
      <c r="O36" s="683">
        <f t="shared" si="13"/>
        <v>0.12153833999999999</v>
      </c>
      <c r="P36" s="683">
        <f t="shared" si="14"/>
        <v>0.14765699999999998</v>
      </c>
      <c r="Q36" s="683">
        <f t="shared" si="15"/>
        <v>1.9336269999999999E-2</v>
      </c>
      <c r="R36" s="683">
        <f t="shared" si="16"/>
        <v>0.10719947999999999</v>
      </c>
      <c r="S36" s="683">
        <f t="shared" si="17"/>
        <v>0.156</v>
      </c>
      <c r="T36" s="683">
        <f t="shared" si="18"/>
        <v>0.22899999999999998</v>
      </c>
      <c r="U36" s="683">
        <f t="shared" si="19"/>
        <v>0.498</v>
      </c>
      <c r="V36" s="683">
        <f t="shared" si="20"/>
        <v>4.74</v>
      </c>
      <c r="W36" s="683">
        <f t="shared" si="21"/>
        <v>0.14215823999999999</v>
      </c>
      <c r="X36" s="683">
        <f t="shared" si="22"/>
        <v>7.2</v>
      </c>
      <c r="Y36" s="683">
        <f t="shared" si="23"/>
        <v>1.7004999999999998E-3</v>
      </c>
    </row>
    <row r="37" spans="11:27" x14ac:dyDescent="0.35">
      <c r="L37" s="641" t="s">
        <v>651</v>
      </c>
      <c r="M37" s="641" t="s">
        <v>1003</v>
      </c>
      <c r="N37" s="683">
        <f t="shared" si="12"/>
        <v>0.33738928000000001</v>
      </c>
      <c r="O37" s="683">
        <f t="shared" si="13"/>
        <v>0.31435866000000001</v>
      </c>
      <c r="P37" s="683">
        <f t="shared" si="14"/>
        <v>0.13047599999999998</v>
      </c>
      <c r="Q37" s="683">
        <f t="shared" si="15"/>
        <v>1.8924859999999998E-2</v>
      </c>
      <c r="R37" s="683">
        <f t="shared" si="16"/>
        <v>0.16661123999999997</v>
      </c>
      <c r="S37" s="683">
        <f t="shared" si="17"/>
        <v>0.82099999999999995</v>
      </c>
      <c r="T37" s="683">
        <f t="shared" si="18"/>
        <v>2.2000000000000002E-2</v>
      </c>
      <c r="U37" s="683">
        <f t="shared" si="19"/>
        <v>1E-3</v>
      </c>
      <c r="V37" s="683">
        <f t="shared" si="20"/>
        <v>3.38</v>
      </c>
      <c r="W37" s="683">
        <f t="shared" si="21"/>
        <v>1.8615959999999997E-2</v>
      </c>
      <c r="X37" s="683">
        <f t="shared" si="22"/>
        <v>0</v>
      </c>
      <c r="Y37" s="683">
        <f t="shared" si="23"/>
        <v>0</v>
      </c>
    </row>
    <row r="38" spans="11:27" x14ac:dyDescent="0.35">
      <c r="L38" s="641" t="s">
        <v>653</v>
      </c>
      <c r="M38" s="641" t="s">
        <v>1004</v>
      </c>
      <c r="N38" s="683">
        <f t="shared" si="12"/>
        <v>3.04346E-3</v>
      </c>
      <c r="O38" s="683">
        <f t="shared" si="13"/>
        <v>0</v>
      </c>
      <c r="P38" s="683">
        <f t="shared" si="14"/>
        <v>0</v>
      </c>
      <c r="Q38" s="683">
        <f t="shared" si="15"/>
        <v>0</v>
      </c>
      <c r="R38" s="683">
        <f t="shared" si="16"/>
        <v>0</v>
      </c>
      <c r="S38" s="683">
        <f t="shared" si="17"/>
        <v>0</v>
      </c>
      <c r="T38" s="683">
        <f t="shared" si="18"/>
        <v>0</v>
      </c>
      <c r="U38" s="683">
        <f t="shared" si="19"/>
        <v>0.5</v>
      </c>
      <c r="V38" s="683">
        <f t="shared" si="20"/>
        <v>4.5</v>
      </c>
      <c r="W38" s="683">
        <f t="shared" si="21"/>
        <v>2.8206000000000001E-5</v>
      </c>
      <c r="X38" s="683">
        <f t="shared" si="22"/>
        <v>0</v>
      </c>
      <c r="Y38" s="683">
        <f t="shared" si="23"/>
        <v>0</v>
      </c>
    </row>
    <row r="39" spans="11:27" x14ac:dyDescent="0.35">
      <c r="L39" s="641" t="s">
        <v>1063</v>
      </c>
      <c r="M39" s="641" t="s">
        <v>1063</v>
      </c>
      <c r="N39" s="683">
        <f t="shared" si="12"/>
        <v>2.6086799999999999E-3</v>
      </c>
      <c r="O39" s="683">
        <f t="shared" si="13"/>
        <v>2.3333310000000003E-2</v>
      </c>
      <c r="P39" s="683">
        <f t="shared" si="14"/>
        <v>8.3415000000000003E-2</v>
      </c>
      <c r="Q39" s="683">
        <f t="shared" si="15"/>
        <v>3.7438309999999995E-3</v>
      </c>
      <c r="R39" s="683">
        <f t="shared" si="16"/>
        <v>3.8746799999999997E-3</v>
      </c>
      <c r="S39" s="683">
        <f t="shared" si="17"/>
        <v>0</v>
      </c>
      <c r="T39" s="683">
        <f t="shared" si="18"/>
        <v>0.66200000000000003</v>
      </c>
      <c r="U39" s="683">
        <f t="shared" si="19"/>
        <v>3.0000000000000001E-3</v>
      </c>
      <c r="V39" s="683">
        <f t="shared" si="20"/>
        <v>3.18</v>
      </c>
      <c r="W39" s="683">
        <f t="shared" si="21"/>
        <v>3.0744539999999997E-2</v>
      </c>
      <c r="X39" s="683">
        <f t="shared" si="22"/>
        <v>0</v>
      </c>
      <c r="Y39" s="683">
        <f t="shared" si="23"/>
        <v>1.5751999999999999E-3</v>
      </c>
    </row>
    <row r="40" spans="11:27" x14ac:dyDescent="0.35">
      <c r="Z40" s="685"/>
      <c r="AA40" s="685"/>
    </row>
    <row r="41" spans="11:27" x14ac:dyDescent="0.35">
      <c r="K41" s="685"/>
    </row>
    <row r="42" spans="11:27" ht="13.2" x14ac:dyDescent="0.4">
      <c r="L42" s="941" t="s">
        <v>1145</v>
      </c>
      <c r="M42" s="941"/>
      <c r="N42" s="941"/>
      <c r="O42" s="941"/>
      <c r="P42" s="941"/>
      <c r="Q42" s="941"/>
      <c r="R42" s="941"/>
      <c r="S42" s="941"/>
      <c r="T42" s="941"/>
      <c r="U42" s="941"/>
      <c r="V42" s="941"/>
      <c r="W42" s="941"/>
      <c r="X42" s="941"/>
      <c r="Y42" s="941"/>
      <c r="Z42" s="941"/>
    </row>
    <row r="43" spans="11:27" ht="13.2" x14ac:dyDescent="0.4">
      <c r="M43" s="652" t="s">
        <v>968</v>
      </c>
      <c r="N43" s="652" t="s">
        <v>248</v>
      </c>
      <c r="O43" s="652" t="s">
        <v>249</v>
      </c>
      <c r="P43" s="652" t="s">
        <v>250</v>
      </c>
      <c r="Q43" s="652" t="s">
        <v>251</v>
      </c>
      <c r="R43" s="652" t="s">
        <v>583</v>
      </c>
      <c r="S43" s="652" t="s">
        <v>246</v>
      </c>
      <c r="T43" s="652" t="s">
        <v>584</v>
      </c>
      <c r="U43" s="652" t="s">
        <v>585</v>
      </c>
      <c r="V43" s="652" t="s">
        <v>586</v>
      </c>
      <c r="W43" s="661" t="s">
        <v>637</v>
      </c>
      <c r="X43" s="661" t="s">
        <v>638</v>
      </c>
      <c r="Y43" s="652" t="s">
        <v>983</v>
      </c>
    </row>
    <row r="45" spans="11:27" x14ac:dyDescent="0.35">
      <c r="L45" s="641" t="s">
        <v>969</v>
      </c>
      <c r="M45" s="641" t="s">
        <v>1004</v>
      </c>
      <c r="N45" s="683">
        <f>VLOOKUP(M45,tblVoedingPoeder,6,FALSE)*tblOmrekenNA/100</f>
        <v>3.04346E-3</v>
      </c>
      <c r="O45" s="683">
        <f>VLOOKUP(M45,tblVoedingPoeder,7,FALSE)*tblOmrekenK/100</f>
        <v>0</v>
      </c>
      <c r="P45" s="683">
        <f>VLOOKUP(M45,tblVoedingPoeder,8,FALSE)*tblOmrekenCa/100</f>
        <v>0</v>
      </c>
      <c r="Q45" s="683">
        <f>VLOOKUP(M45,tblVoedingPoeder,10,FALSE)*tblOmrekenMg/100</f>
        <v>0</v>
      </c>
      <c r="R45" s="683">
        <f>VLOOKUP(M45,tblVoedingPoeder,9,FALSE)*tblOmrekenP/100</f>
        <v>0</v>
      </c>
      <c r="S45" s="683">
        <f>VLOOKUP(M45,tblVoedingPoeder,3,FALSE)/100</f>
        <v>0</v>
      </c>
      <c r="T45" s="683">
        <f>VLOOKUP(M45,tblVoedingPoeder,4,FALSE)/100</f>
        <v>0</v>
      </c>
      <c r="U45" s="683">
        <f>VLOOKUP(M45,tblVoedingPoeder,5,FALSE)/100</f>
        <v>0.5</v>
      </c>
      <c r="V45" s="683">
        <f>VLOOKUP(M45,tblVoedingPoeder,2,FALSE)/100</f>
        <v>4.5</v>
      </c>
      <c r="W45" s="683">
        <f>VLOOKUP(M45,tblVoedingPoeder,13,FALSE)*tblOmrekenCl/100</f>
        <v>2.8206000000000001E-5</v>
      </c>
      <c r="X45" s="683">
        <f>VLOOKUP(M45,tblVoedingPoeder,12,FALSE)*tblOmrekenVitD/100</f>
        <v>0</v>
      </c>
      <c r="Y45" s="683">
        <f>VLOOKUP(M45,tblVoedingPoeder,11,FALSE)*tblOmrekenFe/100</f>
        <v>0</v>
      </c>
      <c r="Z45" s="642"/>
      <c r="AA45" s="642"/>
    </row>
    <row r="46" spans="11:27" x14ac:dyDescent="0.35">
      <c r="L46" s="641" t="s">
        <v>970</v>
      </c>
      <c r="M46" s="641" t="s">
        <v>587</v>
      </c>
      <c r="N46" s="683">
        <f>VLOOKUP(M46,tblVoedingPoeder,6,FALSE)*tblOmrekenNA/100</f>
        <v>8.6956000000000002E-4</v>
      </c>
      <c r="O46" s="683">
        <f>VLOOKUP(M46,tblVoedingPoeder,7,FALSE)*tblOmrekenK/100</f>
        <v>0</v>
      </c>
      <c r="P46" s="683">
        <f>VLOOKUP(M46,tblVoedingPoeder,8,FALSE)*tblOmrekenCa/100</f>
        <v>0</v>
      </c>
      <c r="Q46" s="683">
        <f>VLOOKUP(M46,tblVoedingPoeder,10,FALSE)*tblOmrekenMg/100</f>
        <v>0</v>
      </c>
      <c r="R46" s="683">
        <f>VLOOKUP(M46,tblVoedingPoeder,9,FALSE)*tblOmrekenP/100</f>
        <v>0</v>
      </c>
      <c r="S46" s="683">
        <f>VLOOKUP(M46,tblVoedingPoeder,3,FALSE)/100</f>
        <v>0</v>
      </c>
      <c r="T46" s="683">
        <f>VLOOKUP(M46,tblVoedingPoeder,4,FALSE)/100</f>
        <v>0.96</v>
      </c>
      <c r="U46" s="683">
        <f>VLOOKUP(M46,tblVoedingPoeder,5,FALSE)/100</f>
        <v>0</v>
      </c>
      <c r="V46" s="683">
        <f>VLOOKUP(M46,tblVoedingPoeder,2,FALSE)/100</f>
        <v>3.84</v>
      </c>
      <c r="W46" s="683">
        <f>VLOOKUP(M46,tblVoedingPoeder,13,FALSE)*tblOmrekenCl/100</f>
        <v>0</v>
      </c>
      <c r="X46" s="683">
        <f>VLOOKUP(M46,tblVoedingPoeder,12,FALSE)*tblOmrekenVitD/100</f>
        <v>0</v>
      </c>
      <c r="Y46" s="683">
        <f>VLOOKUP(M46,tblVoedingPoeder,11,FALSE)*tblOmrekenFe/100</f>
        <v>0</v>
      </c>
      <c r="Z46" s="642"/>
      <c r="AA46" s="642"/>
    </row>
    <row r="47" spans="11:27" x14ac:dyDescent="0.35">
      <c r="L47" s="641" t="s">
        <v>971</v>
      </c>
      <c r="M47" s="641" t="s">
        <v>1002</v>
      </c>
      <c r="N47" s="683">
        <f>VLOOKUP(M47,tblVoedingPoeder,6,FALSE)*tblOmrekenNA/100</f>
        <v>0.1804337</v>
      </c>
      <c r="O47" s="683">
        <f>VLOOKUP(M47,tblVoedingPoeder,7,FALSE)*tblOmrekenK/100</f>
        <v>0.12153833999999999</v>
      </c>
      <c r="P47" s="683">
        <f>VLOOKUP(M47,tblVoedingPoeder,8,FALSE)*tblOmrekenCa/100</f>
        <v>0.14765699999999998</v>
      </c>
      <c r="Q47" s="683">
        <f>VLOOKUP(M47,tblVoedingPoeder,10,FALSE)*tblOmrekenMg/100</f>
        <v>1.9336269999999999E-2</v>
      </c>
      <c r="R47" s="683">
        <f>VLOOKUP(M47,tblVoedingPoeder,9,FALSE)*tblOmrekenP/100</f>
        <v>0.10719947999999999</v>
      </c>
      <c r="S47" s="683">
        <f>VLOOKUP(M47,tblVoedingPoeder,3,FALSE)/100</f>
        <v>0.156</v>
      </c>
      <c r="T47" s="683">
        <f>VLOOKUP(M47,tblVoedingPoeder,4,FALSE)/100</f>
        <v>0.22899999999999998</v>
      </c>
      <c r="U47" s="683">
        <f>VLOOKUP(M47,tblVoedingPoeder,5,FALSE)/100</f>
        <v>0.498</v>
      </c>
      <c r="V47" s="683">
        <f>VLOOKUP(M47,tblVoedingPoeder,2,FALSE)/100</f>
        <v>4.74</v>
      </c>
      <c r="W47" s="683">
        <f>VLOOKUP(M47,tblVoedingPoeder,13,FALSE)*tblOmrekenCl/100</f>
        <v>0.14215823999999999</v>
      </c>
      <c r="X47" s="683">
        <f>VLOOKUP(M47,tblVoedingPoeder,12,FALSE)*tblOmrekenVitD/100</f>
        <v>7.2</v>
      </c>
      <c r="Y47" s="683">
        <f>VLOOKUP(M47,tblVoedingPoeder,11,FALSE)*tblOmrekenFe/100</f>
        <v>1.7004999999999998E-3</v>
      </c>
      <c r="Z47" s="642"/>
      <c r="AA47" s="642"/>
    </row>
    <row r="48" spans="11:27" x14ac:dyDescent="0.35">
      <c r="L48" s="641" t="s">
        <v>972</v>
      </c>
      <c r="M48" s="641" t="s">
        <v>1063</v>
      </c>
      <c r="N48" s="683">
        <f>VLOOKUP(M48,tblVoedingPoeder,6,FALSE)*tblOmrekenNA/100</f>
        <v>2.6086799999999999E-3</v>
      </c>
      <c r="O48" s="683">
        <f>VLOOKUP(M48,tblVoedingPoeder,7,FALSE)*tblOmrekenK/100</f>
        <v>2.3333310000000003E-2</v>
      </c>
      <c r="P48" s="683">
        <f>VLOOKUP(M48,tblVoedingPoeder,8,FALSE)*tblOmrekenCa/100</f>
        <v>8.3415000000000003E-2</v>
      </c>
      <c r="Q48" s="683">
        <f>VLOOKUP(M48,tblVoedingPoeder,10,FALSE)*tblOmrekenMg/100</f>
        <v>3.7438309999999995E-3</v>
      </c>
      <c r="R48" s="683">
        <f>VLOOKUP(M48,tblVoedingPoeder,9,FALSE)*tblOmrekenP/100</f>
        <v>3.8746799999999997E-3</v>
      </c>
      <c r="S48" s="683">
        <f>VLOOKUP(M48,tblVoedingPoeder,3,FALSE)/100</f>
        <v>0</v>
      </c>
      <c r="T48" s="683">
        <f>VLOOKUP(M48,tblVoedingPoeder,4,FALSE)/100</f>
        <v>0.66200000000000003</v>
      </c>
      <c r="U48" s="683">
        <f>VLOOKUP(M48,tblVoedingPoeder,5,FALSE)/100</f>
        <v>3.0000000000000001E-3</v>
      </c>
      <c r="V48" s="683">
        <f>VLOOKUP(M48,tblVoedingPoeder,2,FALSE)/100</f>
        <v>3.18</v>
      </c>
      <c r="W48" s="683">
        <f>VLOOKUP(M48,tblVoedingPoeder,13,FALSE)*tblOmrekenCl/100</f>
        <v>3.0744539999999997E-2</v>
      </c>
      <c r="X48" s="683">
        <f>VLOOKUP(M48,tblVoedingPoeder,12,FALSE)*tblOmrekenVitD/100</f>
        <v>0</v>
      </c>
      <c r="Y48" s="683">
        <f>VLOOKUP(M48,tblVoedingPoeder,11,FALSE)*tblOmrekenFe/100</f>
        <v>1.5751999999999999E-3</v>
      </c>
      <c r="Z48" s="642"/>
      <c r="AA48" s="642"/>
    </row>
    <row r="49" spans="1:27" x14ac:dyDescent="0.35">
      <c r="M49" s="685"/>
      <c r="P49" s="644"/>
      <c r="Q49" s="644"/>
      <c r="W49" s="644"/>
      <c r="Y49" s="642"/>
      <c r="Z49" s="642"/>
      <c r="AA49" s="642"/>
    </row>
    <row r="50" spans="1:27" ht="13.2" x14ac:dyDescent="0.4">
      <c r="L50" s="941" t="s">
        <v>1148</v>
      </c>
      <c r="M50" s="941"/>
      <c r="N50" s="941"/>
      <c r="O50" s="941"/>
      <c r="P50" s="941"/>
      <c r="Q50" s="941"/>
      <c r="R50" s="941"/>
      <c r="S50" s="941"/>
      <c r="T50" s="941"/>
      <c r="U50" s="941"/>
      <c r="V50" s="941"/>
      <c r="W50" s="941"/>
      <c r="X50" s="941"/>
      <c r="Y50" s="941"/>
      <c r="Z50" s="941"/>
      <c r="AA50" s="642"/>
    </row>
    <row r="51" spans="1:27" ht="13.2" x14ac:dyDescent="0.4">
      <c r="M51" s="652"/>
      <c r="N51" s="652" t="s">
        <v>248</v>
      </c>
      <c r="O51" s="652" t="s">
        <v>249</v>
      </c>
      <c r="P51" s="652" t="s">
        <v>250</v>
      </c>
      <c r="Q51" s="652" t="s">
        <v>251</v>
      </c>
      <c r="R51" s="652" t="s">
        <v>583</v>
      </c>
      <c r="S51" s="652" t="s">
        <v>246</v>
      </c>
      <c r="T51" s="652" t="s">
        <v>584</v>
      </c>
      <c r="U51" s="652" t="s">
        <v>585</v>
      </c>
      <c r="V51" s="652" t="s">
        <v>586</v>
      </c>
      <c r="W51" s="704" t="s">
        <v>637</v>
      </c>
      <c r="X51" s="704" t="s">
        <v>638</v>
      </c>
      <c r="Y51" s="652" t="s">
        <v>983</v>
      </c>
      <c r="Z51" s="642"/>
      <c r="AA51" s="642"/>
    </row>
    <row r="52" spans="1:27" x14ac:dyDescent="0.35">
      <c r="L52" s="641" t="s">
        <v>649</v>
      </c>
      <c r="M52" s="641" t="s">
        <v>649</v>
      </c>
      <c r="N52" s="683">
        <f>VLOOKUP(M52,tblVoedingPoeder,6,FALSE)*tblOmrekenNA/100</f>
        <v>0.34912834000000004</v>
      </c>
      <c r="O52" s="683">
        <f>VLOOKUP(M52,tblVoedingPoeder,7,FALSE)*tblOmrekenK/100</f>
        <v>0.13538448</v>
      </c>
      <c r="P52" s="683">
        <f>VLOOKUP(M52,tblVoedingPoeder,8,FALSE)*tblOmrekenCa/100</f>
        <v>0.37125899999999995</v>
      </c>
      <c r="Q52" s="683">
        <f>VLOOKUP(M52,tblVoedingPoeder,10,FALSE)*tblOmrekenMg/100</f>
        <v>4.7312149999999997E-2</v>
      </c>
      <c r="R52" s="683">
        <f>VLOOKUP(M52,tblVoedingPoeder,9,FALSE)*tblOmrekenP/100</f>
        <v>0.28156007999999999</v>
      </c>
      <c r="S52" s="683">
        <f>VLOOKUP(M52,tblVoedingPoeder,3,FALSE)/100</f>
        <v>0.252</v>
      </c>
      <c r="T52" s="683">
        <f>VLOOKUP(M52,tblVoedingPoeder,4,FALSE)/100</f>
        <v>0.622</v>
      </c>
      <c r="U52" s="683">
        <f>VLOOKUP(M52,tblVoedingPoeder,5,FALSE)/100</f>
        <v>0</v>
      </c>
      <c r="V52" s="683">
        <f>VLOOKUP(M52,tblVoedingPoeder,2,FALSE)/100</f>
        <v>3.47</v>
      </c>
      <c r="W52" s="683">
        <f>VLOOKUP(M52,tblVoedingPoeder,13,FALSE)*tblOmrekenCl/100</f>
        <v>0.16162037999999998</v>
      </c>
      <c r="X52" s="683">
        <f>VLOOKUP(M52,tblVoedingPoeder,12,FALSE)*tblOmrekenVitD/100</f>
        <v>46</v>
      </c>
      <c r="Y52" s="683">
        <f>VLOOKUP(M52,tblVoedingPoeder,11,FALSE)*tblOmrekenFe/100</f>
        <v>0</v>
      </c>
      <c r="Z52" s="642"/>
      <c r="AA52" s="642"/>
    </row>
    <row r="53" spans="1:27" x14ac:dyDescent="0.35">
      <c r="M53" s="642"/>
      <c r="N53" s="629"/>
      <c r="O53" s="629"/>
      <c r="P53" s="629"/>
      <c r="Q53" s="629"/>
      <c r="R53" s="629"/>
      <c r="S53" s="629"/>
      <c r="T53" s="629"/>
      <c r="U53" s="629"/>
      <c r="V53" s="629"/>
      <c r="W53" s="629"/>
      <c r="X53" s="629"/>
      <c r="Y53" s="629"/>
      <c r="Z53" s="629"/>
      <c r="AA53" s="629"/>
    </row>
    <row r="54" spans="1:27" x14ac:dyDescent="0.35">
      <c r="A54" s="642"/>
      <c r="B54" s="642"/>
      <c r="C54" s="642"/>
      <c r="D54" s="642"/>
      <c r="E54" s="642"/>
      <c r="F54" s="642"/>
      <c r="G54" s="642"/>
      <c r="H54" s="642"/>
      <c r="M54" s="642"/>
      <c r="N54" s="629"/>
      <c r="O54" s="629"/>
      <c r="P54" s="629"/>
      <c r="Q54" s="629"/>
      <c r="R54" s="629"/>
      <c r="S54" s="629"/>
      <c r="T54" s="629"/>
      <c r="U54" s="629"/>
      <c r="V54" s="629"/>
      <c r="W54" s="629"/>
      <c r="X54" s="629"/>
      <c r="Y54" s="629"/>
      <c r="Z54" s="629"/>
      <c r="AA54" s="629"/>
    </row>
    <row r="55" spans="1:27" x14ac:dyDescent="0.35">
      <c r="A55" s="642"/>
      <c r="B55" s="642"/>
      <c r="C55" s="642"/>
      <c r="D55" s="642"/>
      <c r="E55" s="642"/>
      <c r="F55" s="642"/>
      <c r="G55" s="642"/>
      <c r="H55" s="642"/>
      <c r="L55" s="642"/>
      <c r="M55" s="642"/>
      <c r="N55" s="629"/>
      <c r="O55" s="629"/>
      <c r="P55" s="629"/>
      <c r="Q55" s="629"/>
      <c r="R55" s="629"/>
      <c r="S55" s="629"/>
      <c r="T55" s="629"/>
      <c r="U55" s="629"/>
      <c r="V55" s="629"/>
      <c r="W55" s="629"/>
      <c r="X55" s="629"/>
      <c r="Y55" s="629"/>
      <c r="Z55" s="629"/>
      <c r="AA55" s="629"/>
    </row>
    <row r="56" spans="1:27" x14ac:dyDescent="0.35">
      <c r="A56" s="642"/>
      <c r="B56" s="642"/>
      <c r="C56" s="642"/>
      <c r="D56" s="642"/>
      <c r="E56" s="642"/>
      <c r="F56" s="642"/>
      <c r="G56" s="642"/>
      <c r="H56" s="642"/>
      <c r="I56" s="642"/>
      <c r="J56" s="642"/>
      <c r="K56" s="642"/>
      <c r="L56" s="642"/>
      <c r="M56" s="642"/>
      <c r="N56" s="629"/>
      <c r="O56" s="629"/>
      <c r="P56" s="629"/>
      <c r="Q56" s="629"/>
      <c r="R56" s="629"/>
      <c r="S56" s="629"/>
      <c r="T56" s="629"/>
      <c r="U56" s="629"/>
      <c r="V56" s="629"/>
      <c r="W56" s="629"/>
      <c r="X56" s="629"/>
      <c r="Y56" s="629"/>
      <c r="Z56" s="629"/>
      <c r="AA56" s="629"/>
    </row>
    <row r="57" spans="1:27" x14ac:dyDescent="0.35">
      <c r="A57" s="642"/>
      <c r="B57" s="642"/>
      <c r="C57" s="642"/>
      <c r="D57" s="642"/>
      <c r="E57" s="642"/>
      <c r="F57" s="642"/>
      <c r="G57" s="642"/>
      <c r="H57" s="642"/>
      <c r="I57" s="642"/>
      <c r="J57" s="642"/>
      <c r="K57" s="642"/>
      <c r="L57" s="642"/>
      <c r="M57" s="642"/>
      <c r="N57" s="629"/>
      <c r="O57" s="629"/>
      <c r="P57" s="629"/>
      <c r="Q57" s="629"/>
      <c r="R57" s="629"/>
      <c r="S57" s="629"/>
      <c r="T57" s="629"/>
      <c r="U57" s="629"/>
      <c r="V57" s="629"/>
      <c r="W57" s="629"/>
      <c r="X57" s="629"/>
      <c r="Y57" s="629"/>
      <c r="Z57" s="629"/>
      <c r="AA57" s="629"/>
    </row>
    <row r="58" spans="1:27" x14ac:dyDescent="0.35">
      <c r="A58" s="642"/>
      <c r="B58" s="642"/>
      <c r="C58" s="642"/>
      <c r="D58" s="642"/>
      <c r="E58" s="642"/>
      <c r="F58" s="642"/>
      <c r="G58" s="642"/>
      <c r="H58" s="642"/>
      <c r="I58" s="642"/>
      <c r="J58" s="642"/>
      <c r="K58" s="642"/>
      <c r="L58" s="642"/>
      <c r="P58" s="644"/>
      <c r="Q58" s="644"/>
      <c r="W58" s="630"/>
      <c r="X58" s="643"/>
      <c r="Y58" s="642"/>
      <c r="Z58" s="629"/>
      <c r="AA58" s="629"/>
    </row>
    <row r="59" spans="1:27" x14ac:dyDescent="0.35">
      <c r="A59" s="642"/>
      <c r="B59" s="642"/>
      <c r="C59" s="642"/>
      <c r="D59" s="642"/>
      <c r="E59" s="642"/>
      <c r="F59" s="642"/>
      <c r="G59" s="642"/>
      <c r="H59" s="642"/>
      <c r="I59" s="642"/>
      <c r="J59" s="642"/>
      <c r="K59" s="642"/>
      <c r="L59" s="642"/>
      <c r="P59" s="644"/>
      <c r="Q59" s="644"/>
      <c r="W59" s="640"/>
      <c r="Y59" s="642"/>
      <c r="Z59" s="642"/>
      <c r="AA59" s="642"/>
    </row>
    <row r="60" spans="1:27" x14ac:dyDescent="0.35">
      <c r="A60" s="642"/>
      <c r="B60" s="642"/>
      <c r="C60" s="642"/>
      <c r="D60" s="642"/>
      <c r="E60" s="642"/>
      <c r="F60" s="642"/>
      <c r="G60" s="642"/>
      <c r="H60" s="642"/>
      <c r="I60" s="642"/>
      <c r="J60" s="642"/>
      <c r="K60" s="642"/>
      <c r="L60" s="642"/>
      <c r="P60" s="644"/>
      <c r="Q60" s="644"/>
      <c r="W60" s="640"/>
      <c r="Y60" s="642"/>
      <c r="Z60" s="642"/>
      <c r="AA60" s="642"/>
    </row>
    <row r="61" spans="1:27" x14ac:dyDescent="0.35">
      <c r="A61" s="642"/>
      <c r="B61" s="642"/>
      <c r="C61" s="642"/>
      <c r="D61" s="642"/>
      <c r="E61" s="642"/>
      <c r="F61" s="642"/>
      <c r="G61" s="642"/>
      <c r="H61" s="642"/>
      <c r="I61" s="642"/>
      <c r="J61" s="642"/>
      <c r="K61" s="642"/>
      <c r="L61" s="642"/>
      <c r="P61" s="644"/>
      <c r="Q61" s="644"/>
      <c r="W61" s="640"/>
      <c r="Y61" s="642"/>
      <c r="Z61" s="642"/>
      <c r="AA61" s="642"/>
    </row>
    <row r="62" spans="1:27" ht="13.2" x14ac:dyDescent="0.4">
      <c r="A62" s="642"/>
      <c r="B62" s="642"/>
      <c r="C62" s="642"/>
      <c r="D62" s="642"/>
      <c r="E62" s="642"/>
      <c r="F62" s="642"/>
      <c r="G62" s="642"/>
      <c r="H62" s="642"/>
      <c r="I62" s="642"/>
      <c r="J62" s="642"/>
      <c r="K62" s="642"/>
      <c r="L62" s="642"/>
      <c r="M62" s="684"/>
      <c r="N62" s="684"/>
      <c r="Z62" s="642"/>
      <c r="AA62" s="642"/>
    </row>
    <row r="63" spans="1:27" x14ac:dyDescent="0.35">
      <c r="A63" s="642"/>
      <c r="B63" s="642"/>
      <c r="C63" s="642"/>
      <c r="D63" s="642"/>
      <c r="E63" s="642"/>
      <c r="F63" s="642"/>
      <c r="G63" s="642"/>
      <c r="H63" s="642"/>
      <c r="I63" s="642"/>
      <c r="J63" s="642"/>
      <c r="K63" s="642"/>
      <c r="L63" s="642"/>
      <c r="M63" s="594"/>
    </row>
    <row r="64" spans="1:27" x14ac:dyDescent="0.35">
      <c r="A64" s="642"/>
      <c r="B64" s="642"/>
      <c r="C64" s="642"/>
      <c r="D64" s="642"/>
      <c r="E64" s="642"/>
      <c r="F64" s="642"/>
      <c r="G64" s="642"/>
      <c r="H64" s="642"/>
      <c r="I64" s="642"/>
      <c r="J64" s="642"/>
      <c r="K64" s="642"/>
      <c r="L64" s="642"/>
    </row>
    <row r="65" spans="1:27" x14ac:dyDescent="0.35">
      <c r="A65" s="642"/>
      <c r="B65" s="642"/>
      <c r="C65" s="642"/>
      <c r="D65" s="642"/>
      <c r="E65" s="642"/>
      <c r="F65" s="642"/>
      <c r="G65" s="642"/>
      <c r="H65" s="642"/>
      <c r="I65" s="642"/>
      <c r="J65" s="642"/>
      <c r="K65" s="642"/>
      <c r="L65" s="642"/>
      <c r="N65" s="685"/>
      <c r="O65" s="685"/>
      <c r="P65" s="685"/>
      <c r="Q65" s="685"/>
      <c r="R65" s="685"/>
      <c r="S65" s="685"/>
      <c r="T65" s="685"/>
      <c r="U65" s="685"/>
      <c r="V65" s="685"/>
      <c r="W65" s="685"/>
      <c r="X65" s="685"/>
      <c r="Y65" s="685"/>
    </row>
    <row r="66" spans="1:27" x14ac:dyDescent="0.35">
      <c r="A66" s="642"/>
      <c r="B66" s="642"/>
      <c r="C66" s="642"/>
      <c r="D66" s="642"/>
      <c r="E66" s="642"/>
      <c r="F66" s="642"/>
      <c r="G66" s="642"/>
      <c r="H66" s="642"/>
      <c r="I66" s="642"/>
      <c r="J66" s="642"/>
      <c r="K66" s="642"/>
      <c r="L66" s="642"/>
      <c r="P66" s="644"/>
      <c r="Q66" s="644"/>
      <c r="W66" s="645"/>
      <c r="X66" s="642"/>
      <c r="Y66" s="642"/>
      <c r="Z66" s="685"/>
      <c r="AA66" s="685"/>
    </row>
    <row r="67" spans="1:27" x14ac:dyDescent="0.35">
      <c r="A67" s="642"/>
      <c r="B67" s="642"/>
      <c r="C67" s="642"/>
      <c r="D67" s="642"/>
      <c r="E67" s="642"/>
      <c r="F67" s="642"/>
      <c r="G67" s="642"/>
      <c r="H67" s="642"/>
      <c r="I67" s="642"/>
      <c r="J67" s="642"/>
      <c r="K67" s="642"/>
      <c r="L67" s="642"/>
      <c r="M67" s="642"/>
      <c r="N67" s="642"/>
      <c r="O67" s="642"/>
      <c r="P67" s="645"/>
      <c r="Q67" s="645"/>
      <c r="R67" s="642"/>
      <c r="S67" s="642"/>
      <c r="T67" s="642"/>
      <c r="U67" s="642"/>
      <c r="V67" s="642"/>
      <c r="W67" s="633"/>
      <c r="X67" s="629"/>
      <c r="Y67" s="629"/>
      <c r="Z67" s="642"/>
      <c r="AA67" s="642"/>
    </row>
    <row r="68" spans="1:27" x14ac:dyDescent="0.35">
      <c r="A68" s="642"/>
      <c r="B68" s="642"/>
      <c r="C68" s="642"/>
      <c r="D68" s="642"/>
      <c r="E68" s="642"/>
      <c r="F68" s="642"/>
      <c r="G68" s="642"/>
      <c r="H68" s="642"/>
      <c r="I68" s="642"/>
      <c r="J68" s="642"/>
      <c r="K68" s="642"/>
      <c r="L68" s="642"/>
      <c r="M68" s="642"/>
      <c r="N68" s="642"/>
      <c r="O68" s="642"/>
      <c r="P68" s="645"/>
      <c r="Q68" s="645"/>
      <c r="R68" s="642"/>
      <c r="S68" s="642"/>
      <c r="T68" s="642"/>
      <c r="U68" s="642"/>
      <c r="V68" s="642"/>
      <c r="W68" s="633"/>
      <c r="X68" s="629"/>
      <c r="Y68" s="629"/>
      <c r="Z68" s="629"/>
      <c r="AA68" s="629"/>
    </row>
    <row r="69" spans="1:27" x14ac:dyDescent="0.35">
      <c r="A69" s="642"/>
      <c r="B69" s="642"/>
      <c r="C69" s="642"/>
      <c r="D69" s="642"/>
      <c r="E69" s="642"/>
      <c r="F69" s="642"/>
      <c r="G69" s="642"/>
      <c r="H69" s="642"/>
      <c r="I69" s="642"/>
      <c r="J69" s="642"/>
      <c r="K69" s="642"/>
      <c r="L69" s="642"/>
      <c r="M69" s="642"/>
      <c r="N69" s="642"/>
      <c r="O69" s="642"/>
      <c r="P69" s="645"/>
      <c r="Q69" s="645"/>
      <c r="R69" s="642"/>
      <c r="S69" s="642"/>
      <c r="T69" s="642"/>
      <c r="U69" s="642"/>
      <c r="V69" s="637"/>
      <c r="W69" s="635"/>
      <c r="X69" s="634"/>
      <c r="Y69" s="634"/>
      <c r="Z69" s="629"/>
      <c r="AA69" s="629"/>
    </row>
    <row r="70" spans="1:27" x14ac:dyDescent="0.35">
      <c r="A70" s="642"/>
      <c r="B70" s="642"/>
      <c r="C70" s="642"/>
      <c r="D70" s="642"/>
      <c r="E70" s="642"/>
      <c r="F70" s="642"/>
      <c r="G70" s="642"/>
      <c r="H70" s="642"/>
      <c r="I70" s="642"/>
      <c r="J70" s="642"/>
      <c r="K70" s="642"/>
      <c r="L70" s="642"/>
      <c r="M70" s="642"/>
      <c r="N70" s="642"/>
      <c r="O70" s="642"/>
      <c r="P70" s="645"/>
      <c r="Q70" s="645"/>
      <c r="R70" s="642"/>
      <c r="S70" s="642"/>
      <c r="T70" s="642"/>
      <c r="U70" s="642"/>
      <c r="V70" s="637"/>
      <c r="W70" s="635"/>
      <c r="X70" s="634"/>
      <c r="Y70" s="634"/>
      <c r="Z70" s="634"/>
      <c r="AA70" s="634"/>
    </row>
    <row r="71" spans="1:27" x14ac:dyDescent="0.35">
      <c r="A71" s="642"/>
      <c r="B71" s="642"/>
      <c r="C71" s="642"/>
      <c r="D71" s="642"/>
      <c r="E71" s="642"/>
      <c r="F71" s="642"/>
      <c r="G71" s="642"/>
      <c r="H71" s="642"/>
      <c r="I71" s="642"/>
      <c r="J71" s="642"/>
      <c r="K71" s="642"/>
      <c r="L71" s="642"/>
      <c r="M71" s="642"/>
      <c r="N71" s="642"/>
      <c r="O71" s="642"/>
      <c r="P71" s="645"/>
      <c r="Q71" s="645"/>
      <c r="R71" s="642"/>
      <c r="S71" s="642"/>
      <c r="T71" s="642"/>
      <c r="U71" s="642"/>
      <c r="V71" s="642"/>
      <c r="W71" s="635"/>
      <c r="X71" s="634"/>
      <c r="Y71" s="634"/>
      <c r="Z71" s="634"/>
      <c r="AA71" s="634"/>
    </row>
    <row r="72" spans="1:27" x14ac:dyDescent="0.35">
      <c r="A72" s="642"/>
      <c r="B72" s="642"/>
      <c r="C72" s="642"/>
      <c r="D72" s="642"/>
      <c r="E72" s="642"/>
      <c r="F72" s="642"/>
      <c r="G72" s="642"/>
      <c r="H72" s="642"/>
      <c r="I72" s="642"/>
      <c r="J72" s="642"/>
      <c r="K72" s="642"/>
      <c r="L72" s="642"/>
      <c r="M72" s="642"/>
      <c r="N72" s="642"/>
      <c r="O72" s="642"/>
      <c r="P72" s="645"/>
      <c r="Q72" s="645"/>
      <c r="R72" s="642"/>
      <c r="S72" s="642"/>
      <c r="T72" s="642"/>
      <c r="U72" s="642"/>
      <c r="V72" s="642"/>
      <c r="W72" s="635"/>
      <c r="X72" s="634"/>
      <c r="Y72" s="634"/>
      <c r="Z72" s="634"/>
      <c r="AA72" s="634"/>
    </row>
    <row r="73" spans="1:27" x14ac:dyDescent="0.35">
      <c r="A73" s="642"/>
      <c r="B73" s="642"/>
      <c r="C73" s="642"/>
      <c r="D73" s="642"/>
      <c r="E73" s="642"/>
      <c r="F73" s="642"/>
      <c r="G73" s="642"/>
      <c r="H73" s="642"/>
      <c r="I73" s="642"/>
      <c r="J73" s="642"/>
      <c r="K73" s="642"/>
      <c r="L73" s="642"/>
      <c r="M73" s="642"/>
      <c r="P73" s="644"/>
      <c r="Q73" s="644"/>
      <c r="W73" s="630"/>
      <c r="X73" s="643"/>
      <c r="Y73" s="629"/>
      <c r="Z73" s="634"/>
      <c r="AA73" s="634"/>
    </row>
    <row r="74" spans="1:27" x14ac:dyDescent="0.35">
      <c r="A74" s="642"/>
      <c r="B74" s="642"/>
      <c r="C74" s="642"/>
      <c r="D74" s="642"/>
      <c r="E74" s="642"/>
      <c r="F74" s="642"/>
      <c r="G74" s="642"/>
      <c r="H74" s="642"/>
      <c r="I74" s="642"/>
      <c r="J74" s="642"/>
      <c r="K74" s="642"/>
      <c r="L74" s="642"/>
      <c r="M74" s="642"/>
      <c r="P74" s="644"/>
      <c r="Q74" s="644"/>
      <c r="W74" s="630"/>
      <c r="X74" s="643"/>
      <c r="Y74" s="629"/>
      <c r="Z74" s="629"/>
      <c r="AA74" s="629"/>
    </row>
    <row r="75" spans="1:27" x14ac:dyDescent="0.35">
      <c r="A75" s="686"/>
      <c r="B75" s="686"/>
      <c r="C75" s="548"/>
      <c r="D75" s="548"/>
      <c r="E75" s="548"/>
      <c r="F75" s="548"/>
      <c r="G75" s="548"/>
      <c r="H75" s="548"/>
      <c r="I75" s="642"/>
      <c r="J75" s="642"/>
      <c r="K75" s="642"/>
      <c r="L75" s="642"/>
      <c r="M75" s="642"/>
      <c r="P75" s="644"/>
      <c r="Q75" s="644"/>
      <c r="W75" s="630"/>
      <c r="X75" s="643"/>
      <c r="Y75" s="629"/>
      <c r="Z75" s="629"/>
      <c r="AA75" s="629"/>
    </row>
    <row r="76" spans="1:27" x14ac:dyDescent="0.35">
      <c r="A76" s="686"/>
      <c r="B76" s="686"/>
      <c r="C76" s="548"/>
      <c r="D76" s="548"/>
      <c r="E76" s="548"/>
      <c r="F76" s="548"/>
      <c r="G76" s="548"/>
      <c r="H76" s="548"/>
      <c r="I76" s="642"/>
      <c r="J76" s="642"/>
      <c r="K76" s="642"/>
      <c r="L76" s="263"/>
      <c r="M76" s="642"/>
      <c r="P76" s="644"/>
      <c r="Q76" s="644"/>
      <c r="W76" s="630"/>
      <c r="X76" s="643"/>
      <c r="Y76" s="629"/>
      <c r="Z76" s="629"/>
      <c r="AA76" s="629"/>
    </row>
    <row r="77" spans="1:27" x14ac:dyDescent="0.35">
      <c r="A77" s="548"/>
      <c r="B77" s="548"/>
      <c r="C77" s="548"/>
      <c r="D77" s="548"/>
      <c r="E77" s="548"/>
      <c r="F77" s="548"/>
      <c r="G77" s="548"/>
      <c r="H77" s="548"/>
      <c r="I77" s="548"/>
      <c r="J77" s="548"/>
      <c r="K77" s="263"/>
      <c r="L77" s="548"/>
      <c r="M77" s="642"/>
      <c r="N77" s="642"/>
      <c r="O77" s="642"/>
      <c r="P77" s="645"/>
      <c r="Q77" s="645"/>
      <c r="R77" s="642"/>
      <c r="S77" s="642"/>
      <c r="T77" s="642"/>
      <c r="U77" s="642"/>
      <c r="V77" s="643"/>
      <c r="W77" s="645"/>
      <c r="X77" s="642"/>
      <c r="Y77" s="642"/>
      <c r="Z77" s="629"/>
      <c r="AA77" s="629"/>
    </row>
    <row r="78" spans="1:27" x14ac:dyDescent="0.35">
      <c r="A78" s="686"/>
      <c r="B78" s="686"/>
      <c r="C78" s="548"/>
      <c r="D78" s="548"/>
      <c r="E78" s="548"/>
      <c r="F78" s="548"/>
      <c r="G78" s="548"/>
      <c r="H78" s="548"/>
      <c r="I78" s="548"/>
      <c r="J78" s="548"/>
      <c r="K78" s="548"/>
      <c r="L78" s="548"/>
      <c r="M78" s="642"/>
      <c r="N78" s="642"/>
      <c r="O78" s="642"/>
      <c r="P78" s="645"/>
      <c r="Q78" s="645"/>
      <c r="R78" s="642"/>
      <c r="S78" s="642"/>
      <c r="T78" s="642"/>
      <c r="U78" s="642"/>
      <c r="V78" s="643"/>
      <c r="W78" s="645"/>
      <c r="X78" s="642"/>
      <c r="Y78" s="642"/>
      <c r="Z78" s="642"/>
      <c r="AA78" s="642"/>
    </row>
    <row r="79" spans="1:27" x14ac:dyDescent="0.35">
      <c r="A79" s="686"/>
      <c r="B79" s="686"/>
      <c r="C79" s="548"/>
      <c r="D79" s="548"/>
      <c r="E79" s="548"/>
      <c r="F79" s="548"/>
      <c r="G79" s="548"/>
      <c r="H79" s="548"/>
      <c r="I79" s="548"/>
      <c r="J79" s="548"/>
      <c r="K79" s="548"/>
      <c r="L79" s="548"/>
      <c r="M79" s="643"/>
      <c r="P79" s="644"/>
      <c r="Q79" s="644"/>
      <c r="W79" s="645"/>
      <c r="X79" s="642"/>
      <c r="Y79" s="642"/>
      <c r="Z79" s="642"/>
      <c r="AA79" s="642"/>
    </row>
    <row r="80" spans="1:27" x14ac:dyDescent="0.35">
      <c r="A80" s="686"/>
      <c r="B80" s="686"/>
      <c r="C80" s="548"/>
      <c r="D80" s="548"/>
      <c r="E80" s="548"/>
      <c r="F80" s="548"/>
      <c r="G80" s="548"/>
      <c r="H80" s="548"/>
      <c r="I80" s="548"/>
      <c r="J80" s="548"/>
      <c r="K80" s="548"/>
      <c r="L80" s="548"/>
      <c r="M80" s="643"/>
      <c r="N80" s="643"/>
      <c r="O80" s="643"/>
      <c r="P80" s="630"/>
      <c r="Q80" s="630"/>
      <c r="R80" s="643"/>
      <c r="S80" s="643"/>
      <c r="T80" s="643"/>
      <c r="U80" s="643"/>
      <c r="V80" s="643"/>
      <c r="W80" s="630"/>
      <c r="X80" s="643"/>
      <c r="Y80" s="629"/>
      <c r="Z80" s="642"/>
      <c r="AA80" s="642"/>
    </row>
    <row r="81" spans="1:27" x14ac:dyDescent="0.35">
      <c r="A81" s="686"/>
      <c r="B81" s="686"/>
      <c r="C81" s="548"/>
      <c r="D81" s="548"/>
      <c r="E81" s="548"/>
      <c r="F81" s="548"/>
      <c r="G81" s="548"/>
      <c r="H81" s="548"/>
      <c r="I81" s="548"/>
      <c r="J81" s="548"/>
      <c r="K81" s="548"/>
      <c r="L81" s="548"/>
      <c r="M81" s="643"/>
      <c r="N81" s="643"/>
      <c r="O81" s="643"/>
      <c r="P81" s="630"/>
      <c r="Q81" s="630"/>
      <c r="R81" s="643"/>
      <c r="S81" s="643"/>
      <c r="T81" s="643"/>
      <c r="U81" s="643"/>
      <c r="V81" s="643"/>
      <c r="W81" s="630"/>
      <c r="X81" s="643"/>
      <c r="Y81" s="629"/>
      <c r="Z81" s="629"/>
      <c r="AA81" s="629"/>
    </row>
    <row r="82" spans="1:27" x14ac:dyDescent="0.35">
      <c r="A82" s="548"/>
      <c r="B82" s="686"/>
      <c r="C82" s="548"/>
      <c r="D82" s="548"/>
      <c r="E82" s="548"/>
      <c r="F82" s="548"/>
      <c r="G82" s="548"/>
      <c r="H82" s="548"/>
      <c r="I82" s="548"/>
      <c r="J82" s="548"/>
      <c r="K82" s="548"/>
      <c r="L82" s="548"/>
      <c r="M82" s="643"/>
      <c r="N82" s="643"/>
      <c r="O82" s="643"/>
      <c r="P82" s="630"/>
      <c r="Q82" s="630"/>
      <c r="R82" s="643"/>
      <c r="S82" s="643"/>
      <c r="T82" s="643"/>
      <c r="U82" s="643"/>
      <c r="V82" s="643"/>
      <c r="W82" s="630"/>
      <c r="X82" s="643"/>
      <c r="Y82" s="629"/>
      <c r="Z82" s="629"/>
      <c r="AA82" s="629"/>
    </row>
    <row r="83" spans="1:27" x14ac:dyDescent="0.35">
      <c r="A83" s="548"/>
      <c r="B83" s="686"/>
      <c r="C83" s="548"/>
      <c r="D83" s="548"/>
      <c r="E83" s="548"/>
      <c r="F83" s="548"/>
      <c r="G83" s="548"/>
      <c r="H83" s="548"/>
      <c r="I83" s="548"/>
      <c r="J83" s="548"/>
      <c r="K83" s="548"/>
      <c r="L83" s="548"/>
      <c r="M83" s="643"/>
      <c r="N83" s="643"/>
      <c r="O83" s="643"/>
      <c r="P83" s="630"/>
      <c r="Q83" s="636"/>
      <c r="R83" s="643"/>
      <c r="S83" s="643"/>
      <c r="T83" s="643"/>
      <c r="U83" s="643"/>
      <c r="V83" s="643"/>
      <c r="W83" s="630"/>
      <c r="X83" s="631"/>
      <c r="Y83" s="634"/>
      <c r="Z83" s="629"/>
      <c r="AA83" s="629"/>
    </row>
    <row r="84" spans="1:27" x14ac:dyDescent="0.35">
      <c r="A84" s="686"/>
      <c r="B84" s="686"/>
      <c r="C84" s="548"/>
      <c r="D84" s="548"/>
      <c r="E84" s="548"/>
      <c r="F84" s="548"/>
      <c r="G84" s="548"/>
      <c r="H84" s="548"/>
      <c r="I84" s="548"/>
      <c r="J84" s="548"/>
      <c r="K84" s="548"/>
      <c r="L84" s="548"/>
      <c r="M84" s="643"/>
      <c r="N84" s="643"/>
      <c r="O84" s="643"/>
      <c r="P84" s="630"/>
      <c r="Q84" s="630"/>
      <c r="R84" s="643"/>
      <c r="S84" s="643"/>
      <c r="T84" s="643"/>
      <c r="U84" s="643"/>
      <c r="V84" s="643"/>
      <c r="W84" s="630"/>
      <c r="X84" s="631"/>
      <c r="Y84" s="634"/>
      <c r="Z84" s="634"/>
      <c r="AA84" s="634"/>
    </row>
    <row r="85" spans="1:27" x14ac:dyDescent="0.35">
      <c r="A85" s="686"/>
      <c r="B85" s="686"/>
      <c r="C85" s="548"/>
      <c r="D85" s="548"/>
      <c r="E85" s="548"/>
      <c r="F85" s="548"/>
      <c r="G85" s="548"/>
      <c r="H85" s="548"/>
      <c r="I85" s="548"/>
      <c r="J85" s="548"/>
      <c r="K85" s="548"/>
      <c r="L85" s="548"/>
      <c r="M85" s="643"/>
      <c r="N85" s="643"/>
      <c r="O85" s="643"/>
      <c r="P85" s="630"/>
      <c r="Q85" s="630"/>
      <c r="R85" s="643"/>
      <c r="S85" s="643"/>
      <c r="T85" s="643"/>
      <c r="U85" s="643"/>
      <c r="V85" s="643"/>
      <c r="W85" s="630"/>
      <c r="X85" s="631"/>
      <c r="Y85" s="634"/>
      <c r="Z85" s="634"/>
      <c r="AA85" s="634"/>
    </row>
    <row r="86" spans="1:27" x14ac:dyDescent="0.35">
      <c r="A86" s="686"/>
      <c r="B86" s="686"/>
      <c r="C86" s="548"/>
      <c r="D86" s="548"/>
      <c r="E86" s="548"/>
      <c r="F86" s="548"/>
      <c r="G86" s="548"/>
      <c r="H86" s="548"/>
      <c r="I86" s="548"/>
      <c r="J86" s="548"/>
      <c r="K86" s="548"/>
      <c r="L86" s="548"/>
      <c r="M86" s="643"/>
      <c r="N86" s="643"/>
      <c r="O86" s="643"/>
      <c r="P86" s="630"/>
      <c r="Q86" s="630"/>
      <c r="R86" s="643"/>
      <c r="S86" s="643"/>
      <c r="T86" s="643"/>
      <c r="U86" s="643"/>
      <c r="V86" s="643"/>
      <c r="W86" s="630"/>
      <c r="X86" s="643"/>
      <c r="Y86" s="629"/>
      <c r="Z86" s="634"/>
      <c r="AA86" s="634"/>
    </row>
    <row r="87" spans="1:27" x14ac:dyDescent="0.35">
      <c r="A87" s="686"/>
      <c r="B87" s="686"/>
      <c r="C87" s="548"/>
      <c r="D87" s="548"/>
      <c r="E87" s="548"/>
      <c r="F87" s="548"/>
      <c r="G87" s="548"/>
      <c r="H87" s="548"/>
      <c r="I87" s="548"/>
      <c r="J87" s="548"/>
      <c r="K87" s="548"/>
      <c r="L87" s="548"/>
      <c r="M87" s="629"/>
      <c r="N87" s="632"/>
      <c r="O87" s="632"/>
      <c r="P87" s="632"/>
      <c r="Q87" s="632"/>
      <c r="R87" s="632"/>
      <c r="S87" s="632"/>
      <c r="T87" s="632"/>
      <c r="U87" s="632"/>
      <c r="V87" s="632"/>
      <c r="W87" s="632"/>
      <c r="X87" s="632"/>
      <c r="Y87" s="629"/>
      <c r="Z87" s="629"/>
      <c r="AA87" s="629"/>
    </row>
    <row r="88" spans="1:27" x14ac:dyDescent="0.35">
      <c r="A88" s="686"/>
      <c r="B88" s="686"/>
      <c r="C88" s="548"/>
      <c r="D88" s="548"/>
      <c r="E88" s="548"/>
      <c r="F88" s="548"/>
      <c r="G88" s="548"/>
      <c r="H88" s="548"/>
      <c r="I88" s="548"/>
      <c r="J88" s="548"/>
      <c r="K88" s="548"/>
      <c r="L88" s="548"/>
      <c r="M88" s="629"/>
      <c r="N88" s="632"/>
      <c r="O88" s="632"/>
      <c r="P88" s="632"/>
      <c r="Q88" s="632"/>
      <c r="R88" s="632"/>
      <c r="S88" s="632"/>
      <c r="T88" s="632"/>
      <c r="U88" s="632"/>
      <c r="V88" s="632"/>
      <c r="W88" s="632"/>
      <c r="X88" s="632"/>
      <c r="Y88" s="629"/>
      <c r="Z88" s="629"/>
      <c r="AA88" s="629"/>
    </row>
    <row r="89" spans="1:27" x14ac:dyDescent="0.35">
      <c r="A89" s="686"/>
      <c r="B89" s="686"/>
      <c r="C89" s="548"/>
      <c r="D89" s="548"/>
      <c r="E89" s="548"/>
      <c r="F89" s="548"/>
      <c r="G89" s="548"/>
      <c r="H89" s="548"/>
      <c r="I89" s="548"/>
      <c r="J89" s="548"/>
      <c r="K89" s="548"/>
      <c r="L89" s="548"/>
      <c r="M89" s="548"/>
      <c r="N89" s="642"/>
      <c r="O89" s="642"/>
      <c r="P89" s="642"/>
      <c r="Q89" s="642"/>
      <c r="R89" s="642"/>
      <c r="S89" s="642"/>
      <c r="Z89" s="629"/>
      <c r="AA89" s="629"/>
    </row>
    <row r="90" spans="1:27" x14ac:dyDescent="0.35">
      <c r="A90" s="686"/>
      <c r="B90" s="686"/>
      <c r="C90" s="548"/>
      <c r="D90" s="548"/>
      <c r="E90" s="548"/>
      <c r="F90" s="548"/>
      <c r="G90" s="548"/>
      <c r="H90" s="548"/>
      <c r="I90" s="548"/>
      <c r="J90" s="548"/>
      <c r="K90" s="548"/>
      <c r="L90" s="548"/>
      <c r="M90" s="548"/>
      <c r="N90" s="642"/>
      <c r="O90" s="642"/>
      <c r="P90" s="642"/>
      <c r="Q90" s="642"/>
      <c r="R90" s="642"/>
      <c r="S90" s="642"/>
    </row>
    <row r="91" spans="1:27" x14ac:dyDescent="0.35">
      <c r="A91" s="686"/>
      <c r="B91" s="686"/>
      <c r="C91" s="548"/>
      <c r="D91" s="548"/>
      <c r="E91" s="548"/>
      <c r="F91" s="548"/>
      <c r="G91" s="548"/>
      <c r="H91" s="548"/>
      <c r="I91" s="548"/>
      <c r="J91" s="548"/>
      <c r="K91" s="548"/>
      <c r="L91" s="548"/>
      <c r="M91" s="548"/>
      <c r="N91" s="642"/>
      <c r="O91" s="642"/>
      <c r="P91" s="642"/>
      <c r="Q91" s="642"/>
      <c r="R91" s="642"/>
      <c r="S91" s="642"/>
    </row>
    <row r="92" spans="1:27" x14ac:dyDescent="0.35">
      <c r="A92" s="686"/>
      <c r="B92" s="686"/>
      <c r="C92" s="548"/>
      <c r="D92" s="548"/>
      <c r="E92" s="548"/>
      <c r="F92" s="548"/>
      <c r="G92" s="548"/>
      <c r="H92" s="548"/>
      <c r="I92" s="548"/>
      <c r="J92" s="548"/>
      <c r="K92" s="548"/>
      <c r="L92" s="548"/>
      <c r="M92" s="548"/>
      <c r="N92" s="642"/>
      <c r="O92" s="642"/>
      <c r="P92" s="642"/>
      <c r="Q92" s="642"/>
      <c r="R92" s="642"/>
      <c r="S92" s="642"/>
    </row>
    <row r="93" spans="1:27" x14ac:dyDescent="0.35">
      <c r="A93" s="686"/>
      <c r="B93" s="686"/>
      <c r="C93" s="548"/>
      <c r="D93" s="548"/>
      <c r="E93" s="548"/>
      <c r="F93" s="548"/>
      <c r="G93" s="548"/>
      <c r="H93" s="548"/>
      <c r="I93" s="548"/>
      <c r="J93" s="548"/>
      <c r="K93" s="548"/>
      <c r="L93" s="548"/>
      <c r="M93" s="548"/>
      <c r="N93" s="642"/>
      <c r="O93" s="642"/>
      <c r="P93" s="642"/>
      <c r="Q93" s="642"/>
      <c r="R93" s="642"/>
      <c r="S93" s="642"/>
    </row>
    <row r="94" spans="1:27" x14ac:dyDescent="0.35">
      <c r="A94" s="686"/>
      <c r="B94" s="686"/>
      <c r="C94" s="548"/>
      <c r="D94" s="548"/>
      <c r="E94" s="548"/>
      <c r="F94" s="548"/>
      <c r="G94" s="548"/>
      <c r="H94" s="548"/>
      <c r="I94" s="548"/>
      <c r="J94" s="548"/>
      <c r="K94" s="548"/>
      <c r="L94" s="548"/>
      <c r="M94" s="548"/>
      <c r="N94" s="642"/>
      <c r="O94" s="642"/>
      <c r="P94" s="642"/>
      <c r="Q94" s="642"/>
      <c r="R94" s="642"/>
      <c r="S94" s="642"/>
    </row>
    <row r="95" spans="1:27" x14ac:dyDescent="0.35">
      <c r="A95" s="686"/>
      <c r="B95" s="686"/>
      <c r="C95" s="548"/>
      <c r="D95" s="548"/>
      <c r="E95" s="548"/>
      <c r="F95" s="548"/>
      <c r="G95" s="548"/>
      <c r="H95" s="548"/>
      <c r="I95" s="548"/>
      <c r="J95" s="548"/>
      <c r="K95" s="548"/>
      <c r="L95" s="548"/>
      <c r="M95" s="548"/>
      <c r="N95" s="642"/>
      <c r="O95" s="642"/>
      <c r="P95" s="642"/>
      <c r="Q95" s="642"/>
      <c r="R95" s="642"/>
      <c r="S95" s="642"/>
    </row>
    <row r="96" spans="1:27" x14ac:dyDescent="0.35">
      <c r="A96" s="686"/>
      <c r="B96" s="686"/>
      <c r="C96" s="548"/>
      <c r="D96" s="548"/>
      <c r="E96" s="548"/>
      <c r="F96" s="548"/>
      <c r="G96" s="548"/>
      <c r="H96" s="548"/>
      <c r="I96" s="548"/>
      <c r="J96" s="548"/>
      <c r="K96" s="548"/>
      <c r="L96" s="548"/>
      <c r="M96" s="548"/>
      <c r="N96" s="642"/>
      <c r="O96" s="642"/>
      <c r="P96" s="642"/>
      <c r="Q96" s="642"/>
      <c r="R96" s="642"/>
      <c r="S96" s="642"/>
    </row>
    <row r="97" spans="1:19" x14ac:dyDescent="0.35">
      <c r="A97" s="686"/>
      <c r="B97" s="686"/>
      <c r="C97" s="548"/>
      <c r="D97" s="548"/>
      <c r="E97" s="548"/>
      <c r="F97" s="548"/>
      <c r="G97" s="548"/>
      <c r="H97" s="548"/>
      <c r="I97" s="548"/>
      <c r="J97" s="548"/>
      <c r="K97" s="548"/>
      <c r="L97" s="548"/>
      <c r="M97" s="548"/>
      <c r="N97" s="642"/>
      <c r="O97" s="642"/>
      <c r="P97" s="642"/>
      <c r="Q97" s="642"/>
      <c r="R97" s="642"/>
      <c r="S97" s="642"/>
    </row>
    <row r="98" spans="1:19" x14ac:dyDescent="0.35">
      <c r="A98" s="686"/>
      <c r="B98" s="686"/>
      <c r="C98" s="548"/>
      <c r="D98" s="548"/>
      <c r="E98" s="548"/>
      <c r="F98" s="548"/>
      <c r="G98" s="548"/>
      <c r="H98" s="548"/>
      <c r="I98" s="548"/>
      <c r="J98" s="548"/>
      <c r="K98" s="548"/>
      <c r="L98" s="548"/>
      <c r="M98" s="548"/>
      <c r="N98" s="642"/>
      <c r="O98" s="642"/>
      <c r="P98" s="642"/>
      <c r="Q98" s="642"/>
      <c r="R98" s="642"/>
      <c r="S98" s="642"/>
    </row>
    <row r="99" spans="1:19" x14ac:dyDescent="0.35">
      <c r="A99" s="686"/>
      <c r="B99" s="686"/>
      <c r="C99" s="548"/>
      <c r="D99" s="548"/>
      <c r="E99" s="548"/>
      <c r="F99" s="548"/>
      <c r="G99" s="548"/>
      <c r="H99" s="548"/>
      <c r="I99" s="548"/>
      <c r="J99" s="548"/>
      <c r="K99" s="548"/>
      <c r="L99" s="548"/>
      <c r="M99" s="548"/>
      <c r="N99" s="642"/>
      <c r="O99" s="642"/>
      <c r="P99" s="642"/>
      <c r="Q99" s="642"/>
      <c r="R99" s="642"/>
      <c r="S99" s="642"/>
    </row>
    <row r="100" spans="1:19" x14ac:dyDescent="0.35">
      <c r="A100" s="686"/>
      <c r="B100" s="686"/>
      <c r="C100" s="548"/>
      <c r="D100" s="548"/>
      <c r="E100" s="548"/>
      <c r="F100" s="548"/>
      <c r="G100" s="548"/>
      <c r="H100" s="548"/>
      <c r="I100" s="548"/>
      <c r="J100" s="548"/>
      <c r="K100" s="548"/>
      <c r="L100" s="548"/>
      <c r="M100" s="548"/>
      <c r="N100" s="642"/>
      <c r="O100" s="642"/>
      <c r="P100" s="642"/>
      <c r="Q100" s="642"/>
      <c r="R100" s="642"/>
      <c r="S100" s="642"/>
    </row>
    <row r="101" spans="1:19" x14ac:dyDescent="0.35">
      <c r="A101" s="686"/>
      <c r="B101" s="686"/>
      <c r="C101" s="548"/>
      <c r="D101" s="548"/>
      <c r="E101" s="548"/>
      <c r="F101" s="548"/>
      <c r="G101" s="548"/>
      <c r="H101" s="548"/>
      <c r="I101" s="548"/>
      <c r="J101" s="548"/>
      <c r="K101" s="548"/>
      <c r="L101" s="548"/>
      <c r="M101" s="548"/>
      <c r="N101" s="642"/>
      <c r="O101" s="642"/>
      <c r="P101" s="642"/>
      <c r="Q101" s="642"/>
      <c r="R101" s="642"/>
      <c r="S101" s="642"/>
    </row>
    <row r="102" spans="1:19" x14ac:dyDescent="0.35">
      <c r="A102" s="686"/>
      <c r="B102" s="686"/>
      <c r="C102" s="548"/>
      <c r="D102" s="548"/>
      <c r="E102" s="548"/>
      <c r="F102" s="548"/>
      <c r="G102" s="548"/>
      <c r="H102" s="548"/>
      <c r="I102" s="548"/>
      <c r="J102" s="548"/>
      <c r="K102" s="548"/>
      <c r="L102" s="548"/>
      <c r="M102" s="548"/>
      <c r="N102" s="642"/>
      <c r="O102" s="642"/>
      <c r="P102" s="642"/>
      <c r="Q102" s="642"/>
      <c r="R102" s="642"/>
      <c r="S102" s="642"/>
    </row>
    <row r="103" spans="1:19" x14ac:dyDescent="0.35">
      <c r="A103" s="686"/>
      <c r="B103" s="686"/>
      <c r="C103" s="548"/>
      <c r="D103" s="548"/>
      <c r="E103" s="548"/>
      <c r="F103" s="548"/>
      <c r="G103" s="548"/>
      <c r="H103" s="548"/>
      <c r="I103" s="548"/>
      <c r="J103" s="548"/>
      <c r="K103" s="548"/>
      <c r="L103" s="548"/>
      <c r="M103" s="548"/>
      <c r="N103" s="642"/>
      <c r="O103" s="642"/>
      <c r="P103" s="642"/>
      <c r="Q103" s="642"/>
      <c r="R103" s="642"/>
      <c r="S103" s="642"/>
    </row>
    <row r="104" spans="1:19" x14ac:dyDescent="0.35">
      <c r="A104" s="686"/>
      <c r="B104" s="686"/>
      <c r="C104" s="548"/>
      <c r="D104" s="548"/>
      <c r="E104" s="548"/>
      <c r="F104" s="548"/>
      <c r="G104" s="548"/>
      <c r="H104" s="548"/>
      <c r="I104" s="548"/>
      <c r="J104" s="548"/>
      <c r="K104" s="548"/>
      <c r="L104" s="548"/>
      <c r="M104" s="548"/>
      <c r="N104" s="642"/>
      <c r="O104" s="642"/>
      <c r="P104" s="642"/>
      <c r="Q104" s="642"/>
      <c r="R104" s="642"/>
      <c r="S104" s="642"/>
    </row>
    <row r="105" spans="1:19" x14ac:dyDescent="0.35">
      <c r="A105" s="686"/>
      <c r="B105" s="686"/>
      <c r="C105" s="548"/>
      <c r="D105" s="548"/>
      <c r="E105" s="548"/>
      <c r="F105" s="548"/>
      <c r="G105" s="548"/>
      <c r="H105" s="548"/>
      <c r="I105" s="548"/>
      <c r="J105" s="548"/>
      <c r="K105" s="548"/>
      <c r="L105" s="548"/>
      <c r="M105" s="548"/>
      <c r="N105" s="642"/>
      <c r="O105" s="642"/>
      <c r="P105" s="642"/>
      <c r="Q105" s="642"/>
      <c r="R105" s="642"/>
      <c r="S105" s="642"/>
    </row>
    <row r="106" spans="1:19" x14ac:dyDescent="0.35">
      <c r="A106" s="642"/>
      <c r="B106" s="642"/>
      <c r="C106" s="642"/>
      <c r="D106" s="642"/>
      <c r="E106" s="642"/>
      <c r="F106" s="642"/>
      <c r="G106" s="642"/>
      <c r="H106" s="642"/>
      <c r="I106" s="548"/>
      <c r="J106" s="548"/>
      <c r="K106" s="548"/>
      <c r="L106" s="548"/>
      <c r="M106" s="548"/>
      <c r="N106" s="642"/>
      <c r="O106" s="642"/>
      <c r="P106" s="642"/>
      <c r="Q106" s="642"/>
      <c r="R106" s="642"/>
      <c r="S106" s="642"/>
    </row>
    <row r="107" spans="1:19" x14ac:dyDescent="0.35">
      <c r="A107" s="642"/>
      <c r="B107" s="642"/>
      <c r="C107" s="642"/>
      <c r="D107" s="642"/>
      <c r="E107" s="642"/>
      <c r="F107" s="642"/>
      <c r="G107" s="642"/>
      <c r="H107" s="642"/>
      <c r="I107" s="548"/>
      <c r="J107" s="548"/>
      <c r="K107" s="548"/>
      <c r="L107" s="642"/>
      <c r="M107" s="642"/>
      <c r="N107" s="642"/>
      <c r="O107" s="642"/>
      <c r="P107" s="642"/>
      <c r="Q107" s="642"/>
      <c r="R107" s="642"/>
      <c r="S107" s="642"/>
    </row>
    <row r="108" spans="1:19" x14ac:dyDescent="0.35">
      <c r="A108" s="642"/>
      <c r="B108" s="642"/>
      <c r="C108" s="642"/>
      <c r="D108" s="642"/>
      <c r="E108" s="642"/>
      <c r="F108" s="642"/>
      <c r="G108" s="642"/>
      <c r="H108" s="642"/>
      <c r="I108" s="642"/>
      <c r="J108" s="642"/>
      <c r="K108" s="642"/>
      <c r="L108" s="642"/>
      <c r="M108" s="642"/>
      <c r="N108" s="642"/>
      <c r="O108" s="642"/>
      <c r="P108" s="642"/>
      <c r="Q108" s="642"/>
      <c r="R108" s="642"/>
      <c r="S108" s="642"/>
    </row>
    <row r="109" spans="1:19" x14ac:dyDescent="0.35">
      <c r="A109" s="642"/>
      <c r="B109" s="642"/>
      <c r="C109" s="642"/>
      <c r="D109" s="642"/>
      <c r="E109" s="642"/>
      <c r="F109" s="642"/>
      <c r="G109" s="642"/>
      <c r="H109" s="642"/>
      <c r="I109" s="642"/>
      <c r="J109" s="642"/>
      <c r="K109" s="642"/>
      <c r="L109" s="642"/>
      <c r="M109" s="642"/>
      <c r="N109" s="642"/>
      <c r="O109" s="642"/>
      <c r="P109" s="642"/>
      <c r="Q109" s="642"/>
      <c r="R109" s="642"/>
      <c r="S109" s="642"/>
    </row>
    <row r="110" spans="1:19" x14ac:dyDescent="0.35">
      <c r="A110" s="642"/>
      <c r="B110" s="642"/>
      <c r="C110" s="642"/>
      <c r="D110" s="642"/>
      <c r="E110" s="642"/>
      <c r="F110" s="642"/>
      <c r="G110" s="642"/>
      <c r="H110" s="642"/>
      <c r="I110" s="642"/>
      <c r="J110" s="642"/>
      <c r="K110" s="642"/>
      <c r="L110" s="642"/>
      <c r="M110" s="642"/>
      <c r="N110" s="642"/>
      <c r="O110" s="642"/>
      <c r="P110" s="642"/>
      <c r="Q110" s="642"/>
      <c r="R110" s="642"/>
      <c r="S110" s="642"/>
    </row>
    <row r="111" spans="1:19" x14ac:dyDescent="0.35">
      <c r="A111" s="642"/>
      <c r="B111" s="642"/>
      <c r="C111" s="642"/>
      <c r="D111" s="642"/>
      <c r="E111" s="642"/>
      <c r="F111" s="642"/>
      <c r="G111" s="642"/>
      <c r="H111" s="642"/>
      <c r="I111" s="642"/>
      <c r="J111" s="642"/>
      <c r="K111" s="642"/>
      <c r="L111" s="642"/>
      <c r="M111" s="642"/>
      <c r="N111" s="642"/>
      <c r="O111" s="642"/>
      <c r="P111" s="642"/>
      <c r="Q111" s="642"/>
      <c r="R111" s="642"/>
      <c r="S111" s="642"/>
    </row>
    <row r="112" spans="1:19" x14ac:dyDescent="0.35">
      <c r="A112" s="642"/>
      <c r="B112" s="642"/>
      <c r="C112" s="642"/>
      <c r="D112" s="642"/>
      <c r="E112" s="642"/>
      <c r="F112" s="642"/>
      <c r="G112" s="642"/>
      <c r="H112" s="642"/>
      <c r="I112" s="642"/>
      <c r="J112" s="642"/>
      <c r="K112" s="642"/>
      <c r="L112" s="642"/>
      <c r="M112" s="642"/>
      <c r="N112" s="642"/>
      <c r="O112" s="642"/>
      <c r="P112" s="642"/>
      <c r="Q112" s="642"/>
      <c r="R112" s="642"/>
      <c r="S112" s="642"/>
    </row>
    <row r="113" spans="1:19" x14ac:dyDescent="0.35">
      <c r="A113" s="642"/>
      <c r="B113" s="642"/>
      <c r="C113" s="642"/>
      <c r="D113" s="642"/>
      <c r="E113" s="642"/>
      <c r="F113" s="642"/>
      <c r="G113" s="642"/>
      <c r="H113" s="642"/>
      <c r="I113" s="642"/>
      <c r="J113" s="642"/>
      <c r="K113" s="642"/>
      <c r="L113" s="642"/>
      <c r="M113" s="642"/>
      <c r="N113" s="642"/>
      <c r="O113" s="642"/>
      <c r="P113" s="642"/>
      <c r="Q113" s="642"/>
      <c r="R113" s="642"/>
      <c r="S113" s="642"/>
    </row>
    <row r="114" spans="1:19" x14ac:dyDescent="0.35">
      <c r="A114" s="642"/>
      <c r="B114" s="642"/>
      <c r="C114" s="642"/>
      <c r="D114" s="642"/>
      <c r="E114" s="642"/>
      <c r="F114" s="642"/>
      <c r="G114" s="642"/>
      <c r="H114" s="642"/>
      <c r="I114" s="642"/>
      <c r="J114" s="642"/>
      <c r="K114" s="642"/>
      <c r="L114" s="642"/>
      <c r="M114" s="642"/>
      <c r="N114" s="642"/>
      <c r="O114" s="642"/>
      <c r="P114" s="642"/>
      <c r="Q114" s="642"/>
      <c r="R114" s="642"/>
      <c r="S114" s="642"/>
    </row>
    <row r="115" spans="1:19" x14ac:dyDescent="0.35">
      <c r="A115" s="642"/>
      <c r="B115" s="642"/>
      <c r="C115" s="642"/>
      <c r="D115" s="642"/>
      <c r="E115" s="642"/>
      <c r="F115" s="642"/>
      <c r="G115" s="642"/>
      <c r="H115" s="642"/>
      <c r="I115" s="642"/>
      <c r="J115" s="642"/>
      <c r="K115" s="642"/>
      <c r="L115" s="642"/>
      <c r="M115" s="642"/>
      <c r="N115" s="642"/>
      <c r="O115" s="642"/>
      <c r="P115" s="642"/>
      <c r="Q115" s="642"/>
      <c r="R115" s="642"/>
      <c r="S115" s="642"/>
    </row>
    <row r="116" spans="1:19" x14ac:dyDescent="0.35">
      <c r="A116" s="642"/>
      <c r="B116" s="642"/>
      <c r="C116" s="642"/>
      <c r="D116" s="642"/>
      <c r="E116" s="642"/>
      <c r="F116" s="642"/>
      <c r="G116" s="642"/>
      <c r="H116" s="642"/>
      <c r="I116" s="642"/>
      <c r="J116" s="642"/>
      <c r="K116" s="642"/>
      <c r="L116" s="642"/>
      <c r="M116" s="642"/>
      <c r="N116" s="642"/>
      <c r="O116" s="642"/>
      <c r="P116" s="642"/>
      <c r="Q116" s="642"/>
      <c r="R116" s="642"/>
      <c r="S116" s="642"/>
    </row>
    <row r="117" spans="1:19" x14ac:dyDescent="0.35">
      <c r="A117" s="642"/>
      <c r="B117" s="642"/>
      <c r="C117" s="642"/>
      <c r="D117" s="642"/>
      <c r="E117" s="642"/>
      <c r="F117" s="642"/>
      <c r="G117" s="642"/>
      <c r="H117" s="642"/>
      <c r="I117" s="642"/>
      <c r="J117" s="642"/>
      <c r="K117" s="642"/>
      <c r="L117" s="642"/>
      <c r="M117" s="642"/>
      <c r="N117" s="642"/>
      <c r="O117" s="642"/>
      <c r="P117" s="642"/>
      <c r="Q117" s="642"/>
      <c r="R117" s="642"/>
      <c r="S117" s="642"/>
    </row>
    <row r="118" spans="1:19" x14ac:dyDescent="0.35">
      <c r="A118" s="642"/>
      <c r="B118" s="642"/>
      <c r="C118" s="642"/>
      <c r="D118" s="642"/>
      <c r="E118" s="642"/>
      <c r="F118" s="642"/>
      <c r="G118" s="642"/>
      <c r="H118" s="642"/>
      <c r="I118" s="642"/>
      <c r="J118" s="642"/>
      <c r="K118" s="642"/>
      <c r="L118" s="642"/>
      <c r="M118" s="642"/>
      <c r="N118" s="642"/>
      <c r="O118" s="642"/>
      <c r="P118" s="642"/>
      <c r="Q118" s="642"/>
      <c r="R118" s="642"/>
      <c r="S118" s="642"/>
    </row>
    <row r="119" spans="1:19" x14ac:dyDescent="0.35">
      <c r="A119" s="642"/>
      <c r="B119" s="642"/>
      <c r="C119" s="642"/>
      <c r="D119" s="642"/>
      <c r="E119" s="642"/>
      <c r="F119" s="642"/>
      <c r="G119" s="642"/>
      <c r="H119" s="642"/>
      <c r="I119" s="642"/>
      <c r="J119" s="642"/>
      <c r="K119" s="642"/>
      <c r="L119" s="642"/>
      <c r="M119" s="642"/>
      <c r="N119" s="642"/>
      <c r="O119" s="642"/>
      <c r="P119" s="642"/>
      <c r="Q119" s="642"/>
      <c r="R119" s="642"/>
      <c r="S119" s="642"/>
    </row>
    <row r="120" spans="1:19" x14ac:dyDescent="0.35">
      <c r="A120" s="642"/>
      <c r="B120" s="642"/>
      <c r="C120" s="642"/>
      <c r="D120" s="642"/>
      <c r="E120" s="642"/>
      <c r="F120" s="642"/>
      <c r="G120" s="642"/>
      <c r="H120" s="642"/>
      <c r="I120" s="642"/>
      <c r="J120" s="642"/>
      <c r="K120" s="642"/>
      <c r="L120" s="642"/>
      <c r="M120" s="642"/>
      <c r="N120" s="642"/>
      <c r="O120" s="642"/>
      <c r="P120" s="642"/>
      <c r="Q120" s="642"/>
      <c r="R120" s="642"/>
      <c r="S120" s="642"/>
    </row>
    <row r="121" spans="1:19" x14ac:dyDescent="0.35">
      <c r="A121" s="642"/>
      <c r="B121" s="642"/>
      <c r="C121" s="642"/>
      <c r="D121" s="642"/>
      <c r="E121" s="642"/>
      <c r="F121" s="642"/>
      <c r="G121" s="642"/>
      <c r="H121" s="642"/>
      <c r="I121" s="642"/>
      <c r="J121" s="642"/>
      <c r="K121" s="642"/>
      <c r="L121" s="642"/>
      <c r="M121" s="642"/>
      <c r="N121" s="642"/>
      <c r="O121" s="642"/>
      <c r="P121" s="642"/>
      <c r="Q121" s="642"/>
      <c r="R121" s="642"/>
      <c r="S121" s="642"/>
    </row>
    <row r="122" spans="1:19" x14ac:dyDescent="0.35">
      <c r="A122" s="642"/>
      <c r="B122" s="642"/>
      <c r="C122" s="642"/>
      <c r="D122" s="642"/>
      <c r="E122" s="642"/>
      <c r="F122" s="642"/>
      <c r="G122" s="642"/>
      <c r="H122" s="642"/>
      <c r="I122" s="642"/>
      <c r="J122" s="642"/>
      <c r="K122" s="642"/>
      <c r="L122" s="642"/>
      <c r="M122" s="642"/>
      <c r="N122" s="642"/>
      <c r="O122" s="642"/>
      <c r="P122" s="642"/>
      <c r="Q122" s="642"/>
      <c r="R122" s="642"/>
      <c r="S122" s="642"/>
    </row>
    <row r="123" spans="1:19" x14ac:dyDescent="0.35">
      <c r="A123" s="642"/>
      <c r="B123" s="642"/>
      <c r="C123" s="642"/>
      <c r="D123" s="642"/>
      <c r="E123" s="642"/>
      <c r="F123" s="642"/>
      <c r="G123" s="642"/>
      <c r="H123" s="642"/>
      <c r="I123" s="642"/>
      <c r="J123" s="642"/>
      <c r="K123" s="642"/>
      <c r="L123" s="642"/>
      <c r="M123" s="642"/>
      <c r="N123" s="642"/>
      <c r="O123" s="642"/>
      <c r="P123" s="642"/>
      <c r="Q123" s="642"/>
      <c r="R123" s="642"/>
      <c r="S123" s="642"/>
    </row>
    <row r="124" spans="1:19" x14ac:dyDescent="0.35">
      <c r="A124" s="642"/>
      <c r="B124" s="642"/>
      <c r="C124" s="642"/>
      <c r="D124" s="642"/>
      <c r="E124" s="642"/>
      <c r="F124" s="642"/>
      <c r="G124" s="642"/>
      <c r="H124" s="642"/>
      <c r="I124" s="642"/>
      <c r="J124" s="642"/>
      <c r="K124" s="642"/>
      <c r="L124" s="642"/>
      <c r="M124" s="642"/>
      <c r="N124" s="642"/>
      <c r="O124" s="642"/>
      <c r="P124" s="642"/>
      <c r="Q124" s="642"/>
      <c r="R124" s="642"/>
      <c r="S124" s="642"/>
    </row>
    <row r="125" spans="1:19" x14ac:dyDescent="0.35">
      <c r="A125" s="642"/>
      <c r="B125" s="642"/>
      <c r="C125" s="642"/>
      <c r="D125" s="642"/>
      <c r="E125" s="642"/>
      <c r="F125" s="642"/>
      <c r="G125" s="642"/>
      <c r="H125" s="642"/>
      <c r="I125" s="642"/>
      <c r="J125" s="642"/>
      <c r="K125" s="642"/>
      <c r="L125" s="642"/>
      <c r="M125" s="642"/>
      <c r="N125" s="642"/>
      <c r="O125" s="642"/>
      <c r="P125" s="642"/>
      <c r="Q125" s="642"/>
      <c r="R125" s="642"/>
      <c r="S125" s="642"/>
    </row>
    <row r="126" spans="1:19" x14ac:dyDescent="0.35">
      <c r="A126" s="642"/>
      <c r="B126" s="642"/>
      <c r="C126" s="642"/>
      <c r="D126" s="642"/>
      <c r="E126" s="642"/>
      <c r="F126" s="642"/>
      <c r="G126" s="642"/>
      <c r="H126" s="642"/>
      <c r="I126" s="642"/>
      <c r="J126" s="642"/>
      <c r="K126" s="642"/>
      <c r="L126" s="642"/>
      <c r="M126" s="642"/>
      <c r="N126" s="642"/>
      <c r="O126" s="642"/>
      <c r="P126" s="642"/>
      <c r="Q126" s="642"/>
      <c r="R126" s="642"/>
      <c r="S126" s="642"/>
    </row>
    <row r="127" spans="1:19" x14ac:dyDescent="0.35">
      <c r="A127" s="642"/>
      <c r="B127" s="642"/>
      <c r="C127" s="642"/>
      <c r="D127" s="642"/>
      <c r="E127" s="642"/>
      <c r="F127" s="642"/>
      <c r="G127" s="642"/>
      <c r="H127" s="642"/>
      <c r="I127" s="642"/>
      <c r="J127" s="642"/>
      <c r="K127" s="642"/>
      <c r="L127" s="642"/>
      <c r="M127" s="642"/>
      <c r="N127" s="642"/>
      <c r="O127" s="642"/>
      <c r="P127" s="642"/>
      <c r="Q127" s="642"/>
      <c r="R127" s="642"/>
      <c r="S127" s="642"/>
    </row>
    <row r="128" spans="1:19" x14ac:dyDescent="0.35">
      <c r="A128" s="642"/>
      <c r="B128" s="642"/>
      <c r="C128" s="642"/>
      <c r="D128" s="642"/>
      <c r="E128" s="642"/>
      <c r="F128" s="642"/>
      <c r="G128" s="642"/>
      <c r="H128" s="642"/>
      <c r="I128" s="642"/>
      <c r="J128" s="642"/>
      <c r="K128" s="642"/>
      <c r="L128" s="642"/>
      <c r="M128" s="642"/>
      <c r="N128" s="642"/>
      <c r="O128" s="642"/>
      <c r="P128" s="642"/>
      <c r="Q128" s="642"/>
      <c r="R128" s="642"/>
      <c r="S128" s="642"/>
    </row>
    <row r="129" spans="1:19" x14ac:dyDescent="0.35">
      <c r="A129" s="642"/>
      <c r="B129" s="642"/>
      <c r="C129" s="642"/>
      <c r="D129" s="642"/>
      <c r="E129" s="642"/>
      <c r="F129" s="642"/>
      <c r="G129" s="642"/>
      <c r="H129" s="642"/>
      <c r="I129" s="642"/>
      <c r="J129" s="642"/>
      <c r="K129" s="642"/>
      <c r="L129" s="642"/>
      <c r="M129" s="642"/>
      <c r="N129" s="642"/>
      <c r="O129" s="642"/>
      <c r="P129" s="642"/>
      <c r="Q129" s="642"/>
      <c r="R129" s="642"/>
      <c r="S129" s="642"/>
    </row>
    <row r="130" spans="1:19" x14ac:dyDescent="0.35">
      <c r="A130" s="642"/>
      <c r="B130" s="642"/>
      <c r="C130" s="642"/>
      <c r="D130" s="642"/>
      <c r="E130" s="642"/>
      <c r="F130" s="642"/>
      <c r="G130" s="642"/>
      <c r="H130" s="642"/>
      <c r="I130" s="642"/>
      <c r="J130" s="642"/>
      <c r="K130" s="642"/>
      <c r="L130" s="642"/>
      <c r="M130" s="642"/>
      <c r="N130" s="642"/>
      <c r="O130" s="642"/>
      <c r="P130" s="642"/>
      <c r="Q130" s="642"/>
      <c r="R130" s="642"/>
      <c r="S130" s="642"/>
    </row>
    <row r="131" spans="1:19" x14ac:dyDescent="0.35">
      <c r="A131" s="642"/>
      <c r="B131" s="642"/>
      <c r="C131" s="642"/>
      <c r="D131" s="642"/>
      <c r="E131" s="642"/>
      <c r="F131" s="642"/>
      <c r="G131" s="642"/>
      <c r="H131" s="642"/>
      <c r="I131" s="642"/>
      <c r="J131" s="642"/>
      <c r="K131" s="642"/>
      <c r="L131" s="642"/>
      <c r="M131" s="642"/>
      <c r="N131" s="642"/>
      <c r="O131" s="642"/>
      <c r="P131" s="642"/>
      <c r="Q131" s="642"/>
      <c r="R131" s="642"/>
      <c r="S131" s="642"/>
    </row>
    <row r="132" spans="1:19" x14ac:dyDescent="0.35">
      <c r="A132" s="642"/>
      <c r="B132" s="642"/>
      <c r="C132" s="642"/>
      <c r="D132" s="642"/>
      <c r="E132" s="642"/>
      <c r="F132" s="642"/>
      <c r="G132" s="642"/>
      <c r="H132" s="642"/>
      <c r="I132" s="642"/>
      <c r="J132" s="642"/>
      <c r="K132" s="642"/>
      <c r="L132" s="642"/>
      <c r="M132" s="642"/>
      <c r="N132" s="642"/>
      <c r="O132" s="642"/>
      <c r="P132" s="642"/>
      <c r="Q132" s="642"/>
      <c r="R132" s="642"/>
      <c r="S132" s="642"/>
    </row>
    <row r="133" spans="1:19" x14ac:dyDescent="0.35">
      <c r="A133" s="642"/>
      <c r="B133" s="642"/>
      <c r="C133" s="642"/>
      <c r="D133" s="642"/>
      <c r="E133" s="642"/>
      <c r="F133" s="642"/>
      <c r="G133" s="642"/>
      <c r="H133" s="642"/>
      <c r="I133" s="642"/>
      <c r="J133" s="642"/>
      <c r="K133" s="642"/>
      <c r="L133" s="642"/>
      <c r="M133" s="642"/>
      <c r="N133" s="642"/>
      <c r="O133" s="642"/>
      <c r="P133" s="642"/>
      <c r="Q133" s="642"/>
      <c r="R133" s="642"/>
      <c r="S133" s="642"/>
    </row>
    <row r="134" spans="1:19" x14ac:dyDescent="0.35">
      <c r="A134" s="642"/>
      <c r="B134" s="642"/>
      <c r="C134" s="642"/>
      <c r="D134" s="642"/>
      <c r="E134" s="642"/>
      <c r="F134" s="642"/>
      <c r="G134" s="642"/>
      <c r="H134" s="642"/>
      <c r="I134" s="642"/>
      <c r="J134" s="642"/>
      <c r="K134" s="642"/>
      <c r="L134" s="642"/>
      <c r="M134" s="642"/>
      <c r="N134" s="642"/>
      <c r="O134" s="642"/>
      <c r="P134" s="642"/>
      <c r="Q134" s="642"/>
      <c r="R134" s="642"/>
      <c r="S134" s="642"/>
    </row>
    <row r="135" spans="1:19" x14ac:dyDescent="0.35">
      <c r="A135" s="642"/>
      <c r="B135" s="642"/>
      <c r="C135" s="642"/>
      <c r="D135" s="642"/>
      <c r="E135" s="642"/>
      <c r="F135" s="642"/>
      <c r="G135" s="642"/>
      <c r="H135" s="642"/>
      <c r="I135" s="642"/>
      <c r="J135" s="642"/>
      <c r="K135" s="642"/>
      <c r="L135" s="642"/>
      <c r="M135" s="642"/>
      <c r="N135" s="642"/>
      <c r="O135" s="642"/>
      <c r="P135" s="642"/>
      <c r="Q135" s="642"/>
      <c r="R135" s="642"/>
      <c r="S135" s="642"/>
    </row>
    <row r="136" spans="1:19" x14ac:dyDescent="0.35">
      <c r="A136" s="642"/>
      <c r="B136" s="642"/>
      <c r="C136" s="642"/>
      <c r="D136" s="642"/>
      <c r="E136" s="642"/>
      <c r="F136" s="642"/>
      <c r="G136" s="642"/>
      <c r="H136" s="642"/>
      <c r="I136" s="642"/>
      <c r="J136" s="642"/>
      <c r="K136" s="642"/>
      <c r="L136" s="642"/>
      <c r="M136" s="642"/>
      <c r="N136" s="642"/>
      <c r="O136" s="642"/>
      <c r="P136" s="642"/>
      <c r="Q136" s="642"/>
      <c r="R136" s="642"/>
      <c r="S136" s="642"/>
    </row>
    <row r="137" spans="1:19" x14ac:dyDescent="0.35">
      <c r="A137" s="642"/>
      <c r="B137" s="642"/>
      <c r="C137" s="642"/>
      <c r="D137" s="642"/>
      <c r="E137" s="642"/>
      <c r="F137" s="642"/>
      <c r="G137" s="642"/>
      <c r="H137" s="642"/>
      <c r="I137" s="642"/>
      <c r="J137" s="642"/>
      <c r="K137" s="642"/>
      <c r="L137" s="642"/>
      <c r="M137" s="642"/>
      <c r="N137" s="642"/>
      <c r="O137" s="642"/>
      <c r="P137" s="642"/>
      <c r="Q137" s="642"/>
      <c r="R137" s="642"/>
      <c r="S137" s="642"/>
    </row>
    <row r="138" spans="1:19" x14ac:dyDescent="0.35">
      <c r="A138" s="642"/>
      <c r="B138" s="642"/>
      <c r="C138" s="642"/>
      <c r="D138" s="642"/>
      <c r="E138" s="642"/>
      <c r="F138" s="642"/>
      <c r="G138" s="642"/>
      <c r="H138" s="642"/>
      <c r="I138" s="642"/>
      <c r="J138" s="642"/>
      <c r="K138" s="642"/>
      <c r="L138" s="642"/>
      <c r="M138" s="642"/>
      <c r="N138" s="642"/>
      <c r="O138" s="642"/>
      <c r="P138" s="642"/>
      <c r="Q138" s="642"/>
      <c r="R138" s="642"/>
      <c r="S138" s="642"/>
    </row>
    <row r="139" spans="1:19" x14ac:dyDescent="0.35">
      <c r="A139" s="642"/>
      <c r="B139" s="642"/>
      <c r="C139" s="642"/>
      <c r="D139" s="642"/>
      <c r="E139" s="642"/>
      <c r="F139" s="642"/>
      <c r="G139" s="642"/>
      <c r="H139" s="642"/>
      <c r="I139" s="642"/>
      <c r="J139" s="642"/>
      <c r="K139" s="642"/>
      <c r="L139" s="642"/>
      <c r="M139" s="642"/>
      <c r="N139" s="642"/>
      <c r="O139" s="642"/>
      <c r="P139" s="642"/>
      <c r="Q139" s="642"/>
      <c r="R139" s="642"/>
      <c r="S139" s="642"/>
    </row>
    <row r="140" spans="1:19" x14ac:dyDescent="0.35">
      <c r="A140" s="642"/>
      <c r="B140" s="642"/>
      <c r="C140" s="642"/>
      <c r="D140" s="642"/>
      <c r="E140" s="642"/>
      <c r="F140" s="642"/>
      <c r="G140" s="642"/>
      <c r="H140" s="642"/>
      <c r="I140" s="642"/>
      <c r="J140" s="642"/>
      <c r="K140" s="642"/>
      <c r="L140" s="642"/>
      <c r="M140" s="642"/>
      <c r="N140" s="642"/>
      <c r="O140" s="642"/>
      <c r="P140" s="642"/>
      <c r="Q140" s="642"/>
      <c r="R140" s="642"/>
      <c r="S140" s="642"/>
    </row>
    <row r="141" spans="1:19" x14ac:dyDescent="0.35">
      <c r="A141" s="642"/>
      <c r="B141" s="642"/>
      <c r="C141" s="642"/>
      <c r="D141" s="642"/>
      <c r="E141" s="642"/>
      <c r="F141" s="642"/>
      <c r="G141" s="642"/>
      <c r="H141" s="642"/>
      <c r="I141" s="642"/>
      <c r="J141" s="642"/>
      <c r="K141" s="642"/>
      <c r="L141" s="642"/>
      <c r="M141" s="642"/>
      <c r="N141" s="642"/>
      <c r="O141" s="642"/>
      <c r="P141" s="642"/>
      <c r="Q141" s="642"/>
      <c r="R141" s="642"/>
      <c r="S141" s="642"/>
    </row>
    <row r="142" spans="1:19" x14ac:dyDescent="0.35">
      <c r="A142" s="642"/>
      <c r="B142" s="642"/>
      <c r="C142" s="642"/>
      <c r="D142" s="642"/>
      <c r="E142" s="642"/>
      <c r="F142" s="642"/>
      <c r="G142" s="642"/>
      <c r="H142" s="642"/>
      <c r="I142" s="642"/>
      <c r="J142" s="642"/>
      <c r="K142" s="642"/>
      <c r="L142" s="642"/>
      <c r="M142" s="642"/>
      <c r="N142" s="642"/>
      <c r="O142" s="642"/>
      <c r="P142" s="642"/>
      <c r="Q142" s="642"/>
      <c r="R142" s="642"/>
      <c r="S142" s="642"/>
    </row>
    <row r="143" spans="1:19" x14ac:dyDescent="0.35">
      <c r="A143" s="642"/>
      <c r="B143" s="642"/>
      <c r="C143" s="642"/>
      <c r="D143" s="642"/>
      <c r="E143" s="642"/>
      <c r="F143" s="642"/>
      <c r="G143" s="642"/>
      <c r="H143" s="642"/>
      <c r="I143" s="642"/>
      <c r="J143" s="642"/>
      <c r="K143" s="642"/>
      <c r="L143" s="642"/>
      <c r="M143" s="642"/>
      <c r="N143" s="642"/>
      <c r="O143" s="642"/>
      <c r="P143" s="642"/>
      <c r="Q143" s="642"/>
      <c r="R143" s="642"/>
      <c r="S143" s="642"/>
    </row>
    <row r="144" spans="1:19" x14ac:dyDescent="0.35">
      <c r="A144" s="642"/>
      <c r="B144" s="642"/>
      <c r="C144" s="642"/>
      <c r="D144" s="642"/>
      <c r="E144" s="642"/>
      <c r="F144" s="642"/>
      <c r="G144" s="642"/>
      <c r="H144" s="642"/>
      <c r="I144" s="642"/>
      <c r="J144" s="642"/>
      <c r="K144" s="642"/>
      <c r="L144" s="642"/>
      <c r="M144" s="642"/>
      <c r="N144" s="642"/>
      <c r="O144" s="642"/>
      <c r="P144" s="642"/>
      <c r="Q144" s="642"/>
      <c r="R144" s="642"/>
      <c r="S144" s="642"/>
    </row>
    <row r="145" spans="1:19" x14ac:dyDescent="0.35">
      <c r="A145" s="642"/>
      <c r="B145" s="642"/>
      <c r="C145" s="642"/>
      <c r="D145" s="642"/>
      <c r="E145" s="642"/>
      <c r="F145" s="642"/>
      <c r="G145" s="642"/>
      <c r="H145" s="642"/>
      <c r="I145" s="642"/>
      <c r="J145" s="642"/>
      <c r="K145" s="642"/>
      <c r="L145" s="642"/>
      <c r="M145" s="642"/>
      <c r="N145" s="642"/>
      <c r="O145" s="642"/>
      <c r="P145" s="642"/>
      <c r="Q145" s="642"/>
      <c r="R145" s="642"/>
      <c r="S145" s="642"/>
    </row>
    <row r="146" spans="1:19" x14ac:dyDescent="0.35">
      <c r="A146" s="642"/>
      <c r="B146" s="642"/>
      <c r="C146" s="642"/>
      <c r="D146" s="642"/>
      <c r="E146" s="642"/>
      <c r="F146" s="642"/>
      <c r="G146" s="642"/>
      <c r="H146" s="642"/>
      <c r="I146" s="642"/>
      <c r="J146" s="642"/>
      <c r="K146" s="642"/>
      <c r="L146" s="642"/>
      <c r="M146" s="642"/>
      <c r="N146" s="642"/>
      <c r="O146" s="642"/>
      <c r="P146" s="642"/>
      <c r="Q146" s="642"/>
      <c r="R146" s="642"/>
      <c r="S146" s="642"/>
    </row>
    <row r="147" spans="1:19" x14ac:dyDescent="0.35">
      <c r="A147" s="642"/>
      <c r="B147" s="642"/>
      <c r="C147" s="642"/>
      <c r="D147" s="642"/>
      <c r="E147" s="642"/>
      <c r="F147" s="642"/>
      <c r="G147" s="642"/>
      <c r="H147" s="642"/>
      <c r="I147" s="642"/>
      <c r="J147" s="642"/>
      <c r="K147" s="642"/>
      <c r="L147" s="642"/>
      <c r="M147" s="642"/>
      <c r="N147" s="642"/>
      <c r="O147" s="642"/>
      <c r="P147" s="642"/>
      <c r="Q147" s="642"/>
      <c r="R147" s="642"/>
      <c r="S147" s="642"/>
    </row>
    <row r="148" spans="1:19" x14ac:dyDescent="0.35">
      <c r="A148" s="642"/>
      <c r="B148" s="642"/>
      <c r="C148" s="642"/>
      <c r="D148" s="642"/>
      <c r="E148" s="642"/>
      <c r="F148" s="642"/>
      <c r="G148" s="642"/>
      <c r="H148" s="642"/>
      <c r="I148" s="642"/>
      <c r="J148" s="642"/>
      <c r="K148" s="642"/>
      <c r="L148" s="642"/>
      <c r="M148" s="642"/>
      <c r="N148" s="642"/>
      <c r="O148" s="642"/>
      <c r="P148" s="642"/>
      <c r="Q148" s="642"/>
      <c r="R148" s="642"/>
      <c r="S148" s="642"/>
    </row>
    <row r="149" spans="1:19" x14ac:dyDescent="0.35">
      <c r="A149" s="642"/>
      <c r="B149" s="642"/>
      <c r="C149" s="642"/>
      <c r="D149" s="642"/>
      <c r="E149" s="642"/>
      <c r="F149" s="642"/>
      <c r="G149" s="642"/>
      <c r="H149" s="642"/>
      <c r="I149" s="642"/>
      <c r="J149" s="642"/>
      <c r="K149" s="642"/>
      <c r="L149" s="642"/>
      <c r="M149" s="642"/>
      <c r="N149" s="642"/>
      <c r="O149" s="642"/>
      <c r="P149" s="642"/>
      <c r="Q149" s="642"/>
      <c r="R149" s="642"/>
      <c r="S149" s="642"/>
    </row>
    <row r="150" spans="1:19" x14ac:dyDescent="0.35">
      <c r="A150" s="642"/>
      <c r="B150" s="642"/>
      <c r="C150" s="642"/>
      <c r="D150" s="642"/>
      <c r="E150" s="642"/>
      <c r="F150" s="642"/>
      <c r="G150" s="642"/>
      <c r="H150" s="642"/>
      <c r="I150" s="642"/>
      <c r="J150" s="642"/>
      <c r="K150" s="642"/>
      <c r="L150" s="642"/>
      <c r="M150" s="642"/>
      <c r="N150" s="642"/>
      <c r="O150" s="642"/>
      <c r="P150" s="642"/>
      <c r="Q150" s="642"/>
      <c r="R150" s="642"/>
      <c r="S150" s="642"/>
    </row>
    <row r="151" spans="1:19" x14ac:dyDescent="0.35">
      <c r="A151" s="642"/>
      <c r="B151" s="642"/>
      <c r="C151" s="642"/>
      <c r="D151" s="642"/>
      <c r="E151" s="642"/>
      <c r="F151" s="642"/>
      <c r="G151" s="642"/>
      <c r="H151" s="642"/>
      <c r="I151" s="642"/>
      <c r="J151" s="642"/>
      <c r="K151" s="642"/>
      <c r="L151" s="642"/>
      <c r="M151" s="642"/>
      <c r="N151" s="642"/>
      <c r="O151" s="642"/>
      <c r="P151" s="642"/>
      <c r="Q151" s="642"/>
      <c r="R151" s="642"/>
      <c r="S151" s="642"/>
    </row>
    <row r="152" spans="1:19" x14ac:dyDescent="0.35">
      <c r="A152" s="642"/>
      <c r="B152" s="642"/>
      <c r="C152" s="642"/>
      <c r="D152" s="642"/>
      <c r="E152" s="642"/>
      <c r="F152" s="642"/>
      <c r="G152" s="642"/>
      <c r="H152" s="642"/>
      <c r="I152" s="642"/>
      <c r="J152" s="642"/>
      <c r="K152" s="642"/>
      <c r="L152" s="642"/>
      <c r="M152" s="642"/>
      <c r="N152" s="642"/>
      <c r="O152" s="642"/>
      <c r="P152" s="642"/>
      <c r="Q152" s="642"/>
      <c r="R152" s="642"/>
      <c r="S152" s="642"/>
    </row>
    <row r="153" spans="1:19" x14ac:dyDescent="0.35">
      <c r="A153" s="642"/>
      <c r="B153" s="642"/>
      <c r="C153" s="642"/>
      <c r="D153" s="642"/>
      <c r="E153" s="642"/>
      <c r="F153" s="642"/>
      <c r="G153" s="642"/>
      <c r="H153" s="642"/>
      <c r="I153" s="642"/>
      <c r="J153" s="642"/>
      <c r="K153" s="642"/>
      <c r="L153" s="642"/>
      <c r="M153" s="642"/>
      <c r="N153" s="642"/>
      <c r="O153" s="642"/>
      <c r="P153" s="642"/>
      <c r="Q153" s="642"/>
      <c r="R153" s="642"/>
      <c r="S153" s="642"/>
    </row>
    <row r="154" spans="1:19" x14ac:dyDescent="0.35">
      <c r="A154" s="642"/>
      <c r="B154" s="642"/>
      <c r="C154" s="642"/>
      <c r="D154" s="642"/>
      <c r="E154" s="642"/>
      <c r="F154" s="642"/>
      <c r="G154" s="642"/>
      <c r="H154" s="642"/>
      <c r="I154" s="642"/>
      <c r="J154" s="642"/>
      <c r="K154" s="642"/>
      <c r="L154" s="642"/>
      <c r="M154" s="642"/>
      <c r="N154" s="642"/>
      <c r="O154" s="642"/>
      <c r="P154" s="642"/>
      <c r="Q154" s="642"/>
      <c r="R154" s="642"/>
      <c r="S154" s="642"/>
    </row>
    <row r="155" spans="1:19" x14ac:dyDescent="0.35">
      <c r="A155" s="642"/>
      <c r="B155" s="642"/>
      <c r="C155" s="642"/>
      <c r="D155" s="642"/>
      <c r="E155" s="642"/>
      <c r="F155" s="642"/>
      <c r="G155" s="642"/>
      <c r="H155" s="642"/>
      <c r="I155" s="642"/>
      <c r="J155" s="642"/>
      <c r="K155" s="642"/>
      <c r="L155" s="642"/>
      <c r="M155" s="642"/>
      <c r="N155" s="642"/>
      <c r="O155" s="642"/>
      <c r="P155" s="642"/>
      <c r="Q155" s="642"/>
      <c r="R155" s="642"/>
      <c r="S155" s="642"/>
    </row>
    <row r="156" spans="1:19" x14ac:dyDescent="0.35">
      <c r="A156" s="642"/>
      <c r="B156" s="642"/>
      <c r="C156" s="642"/>
      <c r="D156" s="642"/>
      <c r="E156" s="642"/>
      <c r="F156" s="642"/>
      <c r="G156" s="642"/>
      <c r="H156" s="642"/>
      <c r="I156" s="642"/>
      <c r="J156" s="642"/>
      <c r="K156" s="642"/>
      <c r="L156" s="642"/>
      <c r="M156" s="642"/>
      <c r="N156" s="642"/>
      <c r="O156" s="642"/>
      <c r="P156" s="642"/>
      <c r="Q156" s="642"/>
      <c r="R156" s="642"/>
      <c r="S156" s="642"/>
    </row>
    <row r="157" spans="1:19" x14ac:dyDescent="0.35">
      <c r="A157" s="642"/>
      <c r="B157" s="642"/>
      <c r="C157" s="642"/>
      <c r="D157" s="642"/>
      <c r="E157" s="642"/>
      <c r="F157" s="642"/>
      <c r="G157" s="642"/>
      <c r="H157" s="642"/>
      <c r="I157" s="642"/>
      <c r="J157" s="642"/>
      <c r="K157" s="642"/>
      <c r="L157" s="642"/>
      <c r="M157" s="642"/>
      <c r="N157" s="642"/>
      <c r="O157" s="642"/>
      <c r="P157" s="642"/>
      <c r="Q157" s="642"/>
      <c r="R157" s="642"/>
      <c r="S157" s="642"/>
    </row>
    <row r="158" spans="1:19" x14ac:dyDescent="0.35">
      <c r="A158" s="642"/>
      <c r="B158" s="642"/>
      <c r="C158" s="642"/>
      <c r="D158" s="642"/>
      <c r="E158" s="642"/>
      <c r="F158" s="642"/>
      <c r="G158" s="642"/>
      <c r="H158" s="642"/>
      <c r="I158" s="642"/>
      <c r="J158" s="642"/>
      <c r="K158" s="642"/>
      <c r="L158" s="642"/>
      <c r="M158" s="642"/>
      <c r="N158" s="642"/>
      <c r="O158" s="642"/>
      <c r="P158" s="642"/>
      <c r="Q158" s="642"/>
      <c r="R158" s="642"/>
      <c r="S158" s="642"/>
    </row>
    <row r="159" spans="1:19" x14ac:dyDescent="0.35">
      <c r="A159" s="642"/>
      <c r="B159" s="642"/>
      <c r="C159" s="642"/>
      <c r="D159" s="642"/>
      <c r="E159" s="642"/>
      <c r="F159" s="642"/>
      <c r="G159" s="642"/>
      <c r="H159" s="642"/>
      <c r="I159" s="642"/>
      <c r="J159" s="642"/>
      <c r="K159" s="642"/>
      <c r="L159" s="642"/>
      <c r="M159" s="642"/>
      <c r="N159" s="642"/>
      <c r="O159" s="642"/>
      <c r="P159" s="642"/>
      <c r="Q159" s="642"/>
      <c r="R159" s="642"/>
      <c r="S159" s="642"/>
    </row>
    <row r="160" spans="1:19" x14ac:dyDescent="0.35">
      <c r="A160" s="642"/>
      <c r="B160" s="642"/>
      <c r="C160" s="642"/>
      <c r="D160" s="642"/>
      <c r="E160" s="642"/>
      <c r="F160" s="642"/>
      <c r="G160" s="642"/>
      <c r="H160" s="642"/>
      <c r="I160" s="642"/>
      <c r="J160" s="642"/>
      <c r="K160" s="642"/>
      <c r="L160" s="642"/>
      <c r="M160" s="642"/>
      <c r="N160" s="642"/>
      <c r="O160" s="642"/>
      <c r="P160" s="642"/>
      <c r="Q160" s="642"/>
      <c r="R160" s="642"/>
      <c r="S160" s="642"/>
    </row>
    <row r="161" spans="1:19" x14ac:dyDescent="0.35">
      <c r="A161" s="642"/>
      <c r="B161" s="642"/>
      <c r="C161" s="642"/>
      <c r="D161" s="642"/>
      <c r="E161" s="642"/>
      <c r="F161" s="642"/>
      <c r="G161" s="642"/>
      <c r="H161" s="642"/>
      <c r="I161" s="642"/>
      <c r="J161" s="642"/>
      <c r="K161" s="642"/>
      <c r="L161" s="642"/>
      <c r="M161" s="642"/>
      <c r="N161" s="642"/>
      <c r="O161" s="642"/>
      <c r="P161" s="642"/>
      <c r="Q161" s="642"/>
      <c r="R161" s="642"/>
      <c r="S161" s="642"/>
    </row>
    <row r="162" spans="1:19" x14ac:dyDescent="0.35">
      <c r="A162" s="642"/>
      <c r="B162" s="642"/>
      <c r="C162" s="642"/>
      <c r="D162" s="642"/>
      <c r="E162" s="642"/>
      <c r="F162" s="642"/>
      <c r="G162" s="642"/>
      <c r="H162" s="642"/>
      <c r="I162" s="642"/>
      <c r="J162" s="642"/>
      <c r="K162" s="642"/>
      <c r="L162" s="642"/>
      <c r="M162" s="642"/>
      <c r="N162" s="642"/>
      <c r="O162" s="642"/>
      <c r="P162" s="642"/>
      <c r="Q162" s="642"/>
      <c r="R162" s="642"/>
      <c r="S162" s="642"/>
    </row>
    <row r="163" spans="1:19" x14ac:dyDescent="0.35">
      <c r="A163" s="642"/>
      <c r="B163" s="642"/>
      <c r="C163" s="642"/>
      <c r="D163" s="642"/>
      <c r="E163" s="642"/>
      <c r="F163" s="642"/>
      <c r="G163" s="642"/>
      <c r="H163" s="642"/>
      <c r="I163" s="642"/>
      <c r="J163" s="642"/>
      <c r="K163" s="642"/>
      <c r="L163" s="642"/>
      <c r="M163" s="642"/>
      <c r="N163" s="642"/>
      <c r="O163" s="642"/>
      <c r="P163" s="642"/>
      <c r="Q163" s="642"/>
      <c r="R163" s="642"/>
      <c r="S163" s="642"/>
    </row>
    <row r="164" spans="1:19" x14ac:dyDescent="0.35">
      <c r="A164" s="642"/>
      <c r="B164" s="642"/>
      <c r="C164" s="642"/>
      <c r="D164" s="642"/>
      <c r="E164" s="642"/>
      <c r="F164" s="642"/>
      <c r="G164" s="642"/>
      <c r="H164" s="642"/>
      <c r="I164" s="642"/>
      <c r="J164" s="642"/>
      <c r="K164" s="642"/>
      <c r="L164" s="642"/>
      <c r="M164" s="642"/>
      <c r="N164" s="642"/>
      <c r="O164" s="642"/>
      <c r="P164" s="642"/>
      <c r="Q164" s="642"/>
      <c r="R164" s="642"/>
      <c r="S164" s="642"/>
    </row>
    <row r="165" spans="1:19" x14ac:dyDescent="0.35">
      <c r="A165" s="642"/>
      <c r="B165" s="642"/>
      <c r="C165" s="642"/>
      <c r="D165" s="642"/>
      <c r="E165" s="642"/>
      <c r="F165" s="642"/>
      <c r="G165" s="642"/>
      <c r="H165" s="642"/>
      <c r="I165" s="642"/>
      <c r="J165" s="642"/>
      <c r="K165" s="642"/>
      <c r="L165" s="642"/>
      <c r="M165" s="642"/>
      <c r="N165" s="642"/>
      <c r="O165" s="642"/>
      <c r="P165" s="642"/>
      <c r="Q165" s="642"/>
      <c r="R165" s="642"/>
      <c r="S165" s="642"/>
    </row>
    <row r="166" spans="1:19" x14ac:dyDescent="0.35">
      <c r="A166" s="642"/>
      <c r="B166" s="642"/>
      <c r="C166" s="642"/>
      <c r="D166" s="642"/>
      <c r="E166" s="642"/>
      <c r="F166" s="642"/>
      <c r="G166" s="642"/>
      <c r="H166" s="642"/>
      <c r="I166" s="642"/>
      <c r="J166" s="642"/>
      <c r="K166" s="642"/>
      <c r="L166" s="642"/>
      <c r="M166" s="642"/>
      <c r="N166" s="642"/>
      <c r="O166" s="642"/>
      <c r="P166" s="642"/>
      <c r="Q166" s="642"/>
      <c r="R166" s="642"/>
      <c r="S166" s="642"/>
    </row>
    <row r="167" spans="1:19" x14ac:dyDescent="0.35">
      <c r="A167" s="642"/>
      <c r="B167" s="642"/>
      <c r="C167" s="642"/>
      <c r="D167" s="642"/>
      <c r="E167" s="642"/>
      <c r="F167" s="642"/>
      <c r="G167" s="642"/>
      <c r="H167" s="642"/>
      <c r="I167" s="642"/>
      <c r="J167" s="642"/>
      <c r="K167" s="642"/>
      <c r="L167" s="642"/>
      <c r="M167" s="642"/>
      <c r="N167" s="642"/>
      <c r="O167" s="642"/>
      <c r="P167" s="642"/>
      <c r="Q167" s="642"/>
      <c r="R167" s="642"/>
      <c r="S167" s="642"/>
    </row>
    <row r="168" spans="1:19" x14ac:dyDescent="0.35">
      <c r="A168" s="642"/>
      <c r="B168" s="642"/>
      <c r="C168" s="642"/>
      <c r="D168" s="642"/>
      <c r="E168" s="642"/>
      <c r="F168" s="642"/>
      <c r="G168" s="642"/>
      <c r="H168" s="642"/>
      <c r="I168" s="642"/>
      <c r="J168" s="642"/>
      <c r="K168" s="642"/>
      <c r="L168" s="642"/>
      <c r="M168" s="642"/>
      <c r="N168" s="642"/>
      <c r="O168" s="642"/>
      <c r="P168" s="642"/>
      <c r="Q168" s="642"/>
      <c r="R168" s="642"/>
      <c r="S168" s="642"/>
    </row>
    <row r="169" spans="1:19" x14ac:dyDescent="0.35">
      <c r="A169" s="642"/>
      <c r="B169" s="642"/>
      <c r="C169" s="642"/>
      <c r="D169" s="642"/>
      <c r="E169" s="642"/>
      <c r="F169" s="642"/>
      <c r="G169" s="642"/>
      <c r="H169" s="642"/>
      <c r="I169" s="642"/>
      <c r="J169" s="642"/>
      <c r="K169" s="642"/>
      <c r="L169" s="642"/>
      <c r="M169" s="642"/>
      <c r="N169" s="642"/>
      <c r="O169" s="642"/>
      <c r="P169" s="642"/>
      <c r="Q169" s="642"/>
      <c r="R169" s="642"/>
      <c r="S169" s="642"/>
    </row>
    <row r="170" spans="1:19" x14ac:dyDescent="0.35">
      <c r="A170" s="642"/>
      <c r="B170" s="642"/>
      <c r="C170" s="642"/>
      <c r="D170" s="642"/>
      <c r="E170" s="642"/>
      <c r="F170" s="642"/>
      <c r="G170" s="642"/>
      <c r="H170" s="642"/>
      <c r="I170" s="642"/>
      <c r="J170" s="642"/>
      <c r="K170" s="642"/>
      <c r="L170" s="642"/>
      <c r="M170" s="642"/>
      <c r="N170" s="642"/>
      <c r="O170" s="642"/>
      <c r="P170" s="642"/>
      <c r="Q170" s="642"/>
      <c r="R170" s="642"/>
      <c r="S170" s="642"/>
    </row>
    <row r="171" spans="1:19" x14ac:dyDescent="0.35">
      <c r="A171" s="642"/>
      <c r="B171" s="642"/>
      <c r="C171" s="642"/>
      <c r="D171" s="642"/>
      <c r="E171" s="642"/>
      <c r="F171" s="642"/>
      <c r="G171" s="642"/>
      <c r="H171" s="642"/>
      <c r="I171" s="642"/>
      <c r="J171" s="642"/>
      <c r="K171" s="642"/>
      <c r="L171" s="642"/>
      <c r="M171" s="642"/>
      <c r="N171" s="642"/>
      <c r="O171" s="642"/>
      <c r="P171" s="642"/>
      <c r="Q171" s="642"/>
      <c r="R171" s="642"/>
      <c r="S171" s="642"/>
    </row>
    <row r="172" spans="1:19" x14ac:dyDescent="0.35">
      <c r="A172" s="642"/>
      <c r="B172" s="642"/>
      <c r="C172" s="642"/>
      <c r="D172" s="642"/>
      <c r="E172" s="642"/>
      <c r="F172" s="642"/>
      <c r="G172" s="642"/>
      <c r="H172" s="642"/>
      <c r="I172" s="642"/>
      <c r="J172" s="642"/>
      <c r="K172" s="642"/>
      <c r="L172" s="642"/>
      <c r="M172" s="642"/>
      <c r="N172" s="642"/>
      <c r="O172" s="642"/>
      <c r="P172" s="642"/>
      <c r="Q172" s="642"/>
      <c r="R172" s="642"/>
      <c r="S172" s="642"/>
    </row>
    <row r="173" spans="1:19" x14ac:dyDescent="0.35">
      <c r="A173" s="642"/>
      <c r="B173" s="642"/>
      <c r="C173" s="642"/>
      <c r="D173" s="642"/>
      <c r="E173" s="642"/>
      <c r="F173" s="642"/>
      <c r="G173" s="642"/>
      <c r="H173" s="642"/>
      <c r="I173" s="642"/>
      <c r="J173" s="642"/>
      <c r="K173" s="642"/>
      <c r="L173" s="642"/>
      <c r="M173" s="642"/>
      <c r="N173" s="642"/>
      <c r="O173" s="642"/>
      <c r="P173" s="642"/>
      <c r="Q173" s="642"/>
      <c r="R173" s="642"/>
      <c r="S173" s="642"/>
    </row>
    <row r="174" spans="1:19" x14ac:dyDescent="0.35">
      <c r="A174" s="642"/>
      <c r="B174" s="642"/>
      <c r="C174" s="642"/>
      <c r="D174" s="642"/>
      <c r="E174" s="642"/>
      <c r="F174" s="642"/>
      <c r="G174" s="642"/>
      <c r="H174" s="642"/>
      <c r="I174" s="642"/>
      <c r="J174" s="642"/>
      <c r="K174" s="642"/>
      <c r="L174" s="642"/>
      <c r="M174" s="642"/>
      <c r="N174" s="642"/>
      <c r="O174" s="642"/>
      <c r="P174" s="642"/>
      <c r="Q174" s="642"/>
      <c r="R174" s="642"/>
      <c r="S174" s="642"/>
    </row>
    <row r="175" spans="1:19" x14ac:dyDescent="0.35">
      <c r="A175" s="642"/>
      <c r="B175" s="642"/>
      <c r="C175" s="642"/>
      <c r="D175" s="642"/>
      <c r="E175" s="642"/>
      <c r="F175" s="642"/>
      <c r="G175" s="642"/>
      <c r="H175" s="642"/>
      <c r="I175" s="642"/>
      <c r="J175" s="642"/>
      <c r="K175" s="642"/>
      <c r="L175" s="642"/>
      <c r="M175" s="642"/>
      <c r="N175" s="642"/>
      <c r="O175" s="642"/>
      <c r="P175" s="642"/>
      <c r="Q175" s="642"/>
      <c r="R175" s="642"/>
      <c r="S175" s="642"/>
    </row>
    <row r="176" spans="1:19" x14ac:dyDescent="0.35">
      <c r="A176" s="642"/>
      <c r="B176" s="642"/>
      <c r="C176" s="642"/>
      <c r="D176" s="642"/>
      <c r="E176" s="642"/>
      <c r="F176" s="642"/>
      <c r="G176" s="642"/>
      <c r="H176" s="642"/>
      <c r="I176" s="642"/>
      <c r="J176" s="642"/>
      <c r="K176" s="642"/>
      <c r="L176" s="642"/>
      <c r="M176" s="642"/>
      <c r="N176" s="642"/>
      <c r="O176" s="642"/>
      <c r="P176" s="642"/>
      <c r="Q176" s="642"/>
      <c r="R176" s="642"/>
      <c r="S176" s="642"/>
    </row>
    <row r="177" spans="1:19" x14ac:dyDescent="0.35">
      <c r="A177" s="642"/>
      <c r="B177" s="642"/>
      <c r="C177" s="642"/>
      <c r="D177" s="642"/>
      <c r="E177" s="642"/>
      <c r="F177" s="642"/>
      <c r="G177" s="642"/>
      <c r="H177" s="642"/>
      <c r="I177" s="642"/>
      <c r="J177" s="642"/>
      <c r="K177" s="642"/>
      <c r="L177" s="642"/>
      <c r="M177" s="642"/>
      <c r="N177" s="642"/>
      <c r="O177" s="642"/>
      <c r="P177" s="642"/>
      <c r="Q177" s="642"/>
      <c r="R177" s="642"/>
      <c r="S177" s="642"/>
    </row>
    <row r="178" spans="1:19" x14ac:dyDescent="0.35">
      <c r="A178" s="642"/>
      <c r="B178" s="642"/>
      <c r="C178" s="642"/>
      <c r="D178" s="642"/>
      <c r="E178" s="642"/>
      <c r="F178" s="642"/>
      <c r="G178" s="642"/>
      <c r="H178" s="642"/>
      <c r="I178" s="642"/>
      <c r="J178" s="642"/>
      <c r="K178" s="642"/>
      <c r="L178" s="642"/>
      <c r="M178" s="642"/>
      <c r="N178" s="642"/>
      <c r="O178" s="642"/>
      <c r="P178" s="642"/>
      <c r="Q178" s="642"/>
      <c r="R178" s="642"/>
      <c r="S178" s="642"/>
    </row>
    <row r="179" spans="1:19" x14ac:dyDescent="0.35">
      <c r="A179" s="642"/>
      <c r="B179" s="642"/>
      <c r="C179" s="642"/>
      <c r="D179" s="642"/>
      <c r="E179" s="642"/>
      <c r="F179" s="642"/>
      <c r="G179" s="642"/>
      <c r="H179" s="642"/>
      <c r="I179" s="642"/>
      <c r="J179" s="642"/>
      <c r="K179" s="642"/>
      <c r="L179" s="642"/>
      <c r="M179" s="642"/>
      <c r="N179" s="642"/>
      <c r="O179" s="642"/>
      <c r="P179" s="642"/>
      <c r="Q179" s="642"/>
      <c r="R179" s="642"/>
      <c r="S179" s="642"/>
    </row>
    <row r="180" spans="1:19" x14ac:dyDescent="0.35">
      <c r="A180" s="642"/>
      <c r="B180" s="642"/>
      <c r="C180" s="642"/>
      <c r="D180" s="642"/>
      <c r="E180" s="642"/>
      <c r="F180" s="642"/>
      <c r="G180" s="642"/>
      <c r="H180" s="642"/>
      <c r="I180" s="642"/>
      <c r="J180" s="642"/>
      <c r="K180" s="642"/>
      <c r="L180" s="642"/>
      <c r="M180" s="642"/>
      <c r="N180" s="642"/>
      <c r="O180" s="642"/>
      <c r="P180" s="642"/>
      <c r="Q180" s="642"/>
      <c r="R180" s="642"/>
      <c r="S180" s="642"/>
    </row>
    <row r="181" spans="1:19" x14ac:dyDescent="0.35">
      <c r="A181" s="642"/>
      <c r="B181" s="642"/>
      <c r="C181" s="642"/>
      <c r="D181" s="642"/>
      <c r="E181" s="642"/>
      <c r="F181" s="642"/>
      <c r="G181" s="642"/>
      <c r="H181" s="642"/>
      <c r="I181" s="642"/>
      <c r="J181" s="642"/>
      <c r="K181" s="642"/>
      <c r="L181" s="642"/>
      <c r="M181" s="642"/>
      <c r="N181" s="642"/>
      <c r="O181" s="642"/>
      <c r="P181" s="642"/>
      <c r="Q181" s="642"/>
      <c r="R181" s="642"/>
      <c r="S181" s="642"/>
    </row>
    <row r="182" spans="1:19" x14ac:dyDescent="0.35">
      <c r="A182" s="642"/>
      <c r="B182" s="642"/>
      <c r="C182" s="642"/>
      <c r="D182" s="642"/>
      <c r="E182" s="642"/>
      <c r="F182" s="642"/>
      <c r="G182" s="642"/>
      <c r="H182" s="642"/>
      <c r="I182" s="642"/>
      <c r="J182" s="642"/>
      <c r="K182" s="642"/>
      <c r="L182" s="642"/>
      <c r="M182" s="642"/>
      <c r="N182" s="642"/>
      <c r="O182" s="642"/>
      <c r="P182" s="642"/>
      <c r="Q182" s="642"/>
      <c r="R182" s="642"/>
      <c r="S182" s="642"/>
    </row>
    <row r="183" spans="1:19" x14ac:dyDescent="0.35">
      <c r="A183" s="642"/>
      <c r="B183" s="642"/>
      <c r="C183" s="642"/>
      <c r="D183" s="642"/>
      <c r="E183" s="642"/>
      <c r="F183" s="642"/>
      <c r="G183" s="642"/>
      <c r="H183" s="642"/>
      <c r="I183" s="642"/>
      <c r="J183" s="642"/>
      <c r="K183" s="642"/>
      <c r="L183" s="642"/>
      <c r="M183" s="642"/>
      <c r="N183" s="642"/>
      <c r="O183" s="642"/>
      <c r="P183" s="642"/>
      <c r="Q183" s="642"/>
      <c r="R183" s="642"/>
      <c r="S183" s="642"/>
    </row>
    <row r="184" spans="1:19" x14ac:dyDescent="0.35">
      <c r="A184" s="642"/>
      <c r="B184" s="642"/>
      <c r="C184" s="642"/>
      <c r="D184" s="642"/>
      <c r="E184" s="642"/>
      <c r="F184" s="642"/>
      <c r="G184" s="642"/>
      <c r="H184" s="642"/>
      <c r="I184" s="642"/>
      <c r="J184" s="642"/>
      <c r="K184" s="642"/>
      <c r="L184" s="642"/>
      <c r="M184" s="642"/>
      <c r="N184" s="642"/>
      <c r="O184" s="642"/>
      <c r="P184" s="642"/>
      <c r="Q184" s="642"/>
      <c r="R184" s="642"/>
      <c r="S184" s="642"/>
    </row>
    <row r="185" spans="1:19" x14ac:dyDescent="0.35">
      <c r="A185" s="642"/>
      <c r="B185" s="642"/>
      <c r="C185" s="642"/>
      <c r="D185" s="642"/>
      <c r="E185" s="642"/>
      <c r="F185" s="642"/>
      <c r="G185" s="642"/>
      <c r="H185" s="642"/>
      <c r="I185" s="642"/>
      <c r="J185" s="642"/>
      <c r="K185" s="642"/>
      <c r="L185" s="642"/>
      <c r="M185" s="642"/>
      <c r="N185" s="642"/>
      <c r="O185" s="642"/>
      <c r="P185" s="642"/>
      <c r="Q185" s="642"/>
      <c r="R185" s="642"/>
      <c r="S185" s="642"/>
    </row>
    <row r="186" spans="1:19" x14ac:dyDescent="0.35">
      <c r="A186" s="642"/>
      <c r="B186" s="642"/>
      <c r="C186" s="642"/>
      <c r="D186" s="642"/>
      <c r="E186" s="642"/>
      <c r="F186" s="642"/>
      <c r="G186" s="642"/>
      <c r="H186" s="642"/>
      <c r="I186" s="642"/>
      <c r="J186" s="642"/>
      <c r="K186" s="642"/>
      <c r="L186" s="642"/>
      <c r="M186" s="642"/>
      <c r="N186" s="642"/>
      <c r="O186" s="642"/>
      <c r="P186" s="642"/>
      <c r="Q186" s="642"/>
      <c r="R186" s="642"/>
      <c r="S186" s="642"/>
    </row>
    <row r="187" spans="1:19" x14ac:dyDescent="0.35">
      <c r="A187" s="642"/>
      <c r="B187" s="642"/>
      <c r="C187" s="642"/>
      <c r="D187" s="642"/>
      <c r="E187" s="642"/>
      <c r="F187" s="642"/>
      <c r="G187" s="642"/>
      <c r="H187" s="642"/>
      <c r="I187" s="642"/>
      <c r="J187" s="642"/>
      <c r="K187" s="642"/>
      <c r="L187" s="642"/>
      <c r="M187" s="642"/>
      <c r="N187" s="642"/>
      <c r="O187" s="642"/>
      <c r="P187" s="642"/>
      <c r="Q187" s="642"/>
      <c r="R187" s="642"/>
      <c r="S187" s="642"/>
    </row>
    <row r="188" spans="1:19" x14ac:dyDescent="0.35">
      <c r="A188" s="642"/>
      <c r="B188" s="642"/>
      <c r="C188" s="642"/>
      <c r="D188" s="642"/>
      <c r="E188" s="642"/>
      <c r="F188" s="642"/>
      <c r="G188" s="642"/>
      <c r="H188" s="642"/>
      <c r="I188" s="642"/>
      <c r="J188" s="642"/>
      <c r="K188" s="642"/>
      <c r="L188" s="642"/>
      <c r="M188" s="642"/>
      <c r="N188" s="642"/>
      <c r="O188" s="642"/>
      <c r="P188" s="642"/>
      <c r="Q188" s="642"/>
      <c r="R188" s="642"/>
      <c r="S188" s="642"/>
    </row>
    <row r="189" spans="1:19" x14ac:dyDescent="0.35">
      <c r="A189" s="642"/>
      <c r="B189" s="642"/>
      <c r="C189" s="642"/>
      <c r="D189" s="642"/>
      <c r="E189" s="642"/>
      <c r="F189" s="642"/>
      <c r="G189" s="642"/>
      <c r="H189" s="642"/>
      <c r="I189" s="642"/>
      <c r="J189" s="642"/>
      <c r="K189" s="642"/>
      <c r="L189" s="642"/>
      <c r="M189" s="642"/>
      <c r="N189" s="642"/>
      <c r="O189" s="642"/>
      <c r="P189" s="642"/>
      <c r="Q189" s="642"/>
      <c r="R189" s="642"/>
      <c r="S189" s="642"/>
    </row>
    <row r="190" spans="1:19" x14ac:dyDescent="0.35">
      <c r="A190" s="642"/>
      <c r="B190" s="642"/>
      <c r="C190" s="642"/>
      <c r="D190" s="642"/>
      <c r="E190" s="642"/>
      <c r="F190" s="642"/>
      <c r="G190" s="642"/>
      <c r="H190" s="642"/>
      <c r="I190" s="642"/>
      <c r="J190" s="642"/>
      <c r="K190" s="642"/>
      <c r="L190" s="642"/>
      <c r="M190" s="642"/>
      <c r="N190" s="642"/>
      <c r="O190" s="642"/>
      <c r="P190" s="642"/>
      <c r="Q190" s="642"/>
      <c r="R190" s="642"/>
      <c r="S190" s="642"/>
    </row>
    <row r="191" spans="1:19" x14ac:dyDescent="0.35">
      <c r="A191" s="642"/>
      <c r="B191" s="642"/>
      <c r="C191" s="642"/>
      <c r="D191" s="642"/>
      <c r="E191" s="642"/>
      <c r="F191" s="642"/>
      <c r="G191" s="642"/>
      <c r="H191" s="642"/>
      <c r="I191" s="642"/>
      <c r="J191" s="642"/>
      <c r="K191" s="642"/>
      <c r="L191" s="642"/>
      <c r="M191" s="642"/>
      <c r="N191" s="642"/>
      <c r="O191" s="642"/>
      <c r="P191" s="642"/>
      <c r="Q191" s="642"/>
      <c r="R191" s="642"/>
      <c r="S191" s="642"/>
    </row>
    <row r="192" spans="1:19" x14ac:dyDescent="0.35">
      <c r="A192" s="642"/>
      <c r="B192" s="642"/>
      <c r="C192" s="642"/>
      <c r="D192" s="642"/>
      <c r="E192" s="642"/>
      <c r="F192" s="642"/>
      <c r="G192" s="642"/>
      <c r="H192" s="642"/>
      <c r="I192" s="642"/>
      <c r="J192" s="642"/>
      <c r="K192" s="642"/>
      <c r="L192" s="642"/>
      <c r="M192" s="642"/>
      <c r="N192" s="642"/>
      <c r="O192" s="642"/>
      <c r="P192" s="642"/>
      <c r="Q192" s="642"/>
      <c r="R192" s="642"/>
      <c r="S192" s="642"/>
    </row>
    <row r="193" spans="1:19" x14ac:dyDescent="0.35">
      <c r="A193" s="642"/>
      <c r="B193" s="642"/>
      <c r="C193" s="642"/>
      <c r="D193" s="642"/>
      <c r="E193" s="642"/>
      <c r="F193" s="642"/>
      <c r="G193" s="642"/>
      <c r="H193" s="642"/>
      <c r="I193" s="642"/>
      <c r="J193" s="642"/>
      <c r="K193" s="642"/>
      <c r="L193" s="642"/>
      <c r="M193" s="642"/>
      <c r="N193" s="642"/>
      <c r="O193" s="642"/>
      <c r="P193" s="642"/>
      <c r="Q193" s="642"/>
      <c r="R193" s="642"/>
      <c r="S193" s="642"/>
    </row>
    <row r="194" spans="1:19" x14ac:dyDescent="0.35">
      <c r="A194" s="642"/>
      <c r="B194" s="642"/>
      <c r="C194" s="642"/>
      <c r="D194" s="642"/>
      <c r="E194" s="642"/>
      <c r="F194" s="642"/>
      <c r="G194" s="642"/>
      <c r="H194" s="642"/>
      <c r="I194" s="642"/>
      <c r="J194" s="642"/>
      <c r="K194" s="642"/>
      <c r="L194" s="642"/>
      <c r="M194" s="642"/>
      <c r="N194" s="642"/>
      <c r="O194" s="642"/>
      <c r="P194" s="642"/>
      <c r="Q194" s="642"/>
      <c r="R194" s="642"/>
      <c r="S194" s="642"/>
    </row>
    <row r="195" spans="1:19" x14ac:dyDescent="0.35">
      <c r="A195" s="642"/>
      <c r="B195" s="642"/>
      <c r="C195" s="642"/>
      <c r="D195" s="642"/>
      <c r="E195" s="642"/>
      <c r="F195" s="642"/>
      <c r="G195" s="642"/>
      <c r="H195" s="642"/>
      <c r="I195" s="642"/>
      <c r="J195" s="642"/>
      <c r="K195" s="642"/>
      <c r="L195" s="642"/>
      <c r="M195" s="642"/>
      <c r="N195" s="642"/>
      <c r="O195" s="642"/>
      <c r="P195" s="642"/>
      <c r="Q195" s="642"/>
      <c r="R195" s="642"/>
      <c r="S195" s="642"/>
    </row>
    <row r="196" spans="1:19" x14ac:dyDescent="0.35">
      <c r="A196" s="642"/>
      <c r="B196" s="642"/>
      <c r="C196" s="642"/>
      <c r="D196" s="642"/>
      <c r="E196" s="642"/>
      <c r="F196" s="642"/>
      <c r="G196" s="642"/>
      <c r="H196" s="642"/>
      <c r="I196" s="642"/>
      <c r="J196" s="642"/>
      <c r="K196" s="642"/>
      <c r="L196" s="642"/>
      <c r="M196" s="642"/>
      <c r="N196" s="642"/>
      <c r="O196" s="642"/>
      <c r="P196" s="642"/>
      <c r="Q196" s="642"/>
      <c r="R196" s="642"/>
      <c r="S196" s="642"/>
    </row>
    <row r="197" spans="1:19" x14ac:dyDescent="0.35">
      <c r="A197" s="642"/>
      <c r="B197" s="642"/>
      <c r="C197" s="642"/>
      <c r="D197" s="642"/>
      <c r="E197" s="642"/>
      <c r="F197" s="642"/>
      <c r="G197" s="642"/>
      <c r="H197" s="642"/>
      <c r="I197" s="642"/>
      <c r="J197" s="642"/>
      <c r="K197" s="642"/>
      <c r="L197" s="642"/>
      <c r="M197" s="642"/>
      <c r="N197" s="642"/>
      <c r="O197" s="642"/>
      <c r="P197" s="642"/>
      <c r="Q197" s="642"/>
      <c r="R197" s="642"/>
      <c r="S197" s="642"/>
    </row>
    <row r="198" spans="1:19" x14ac:dyDescent="0.35">
      <c r="A198" s="642"/>
      <c r="B198" s="642"/>
      <c r="C198" s="642"/>
      <c r="D198" s="642"/>
      <c r="E198" s="642"/>
      <c r="F198" s="642"/>
      <c r="G198" s="642"/>
      <c r="H198" s="642"/>
      <c r="I198" s="642"/>
      <c r="J198" s="642"/>
      <c r="K198" s="642"/>
      <c r="L198" s="642"/>
      <c r="M198" s="642"/>
      <c r="N198" s="642"/>
      <c r="O198" s="642"/>
      <c r="P198" s="642"/>
      <c r="Q198" s="642"/>
      <c r="R198" s="642"/>
      <c r="S198" s="642"/>
    </row>
    <row r="199" spans="1:19" x14ac:dyDescent="0.35">
      <c r="A199" s="642"/>
      <c r="B199" s="642"/>
      <c r="C199" s="642"/>
      <c r="D199" s="642"/>
      <c r="E199" s="642"/>
      <c r="F199" s="642"/>
      <c r="G199" s="642"/>
      <c r="H199" s="642"/>
      <c r="I199" s="642"/>
      <c r="J199" s="642"/>
      <c r="K199" s="642"/>
      <c r="L199" s="642"/>
      <c r="M199" s="642"/>
      <c r="N199" s="642"/>
      <c r="O199" s="642"/>
      <c r="P199" s="642"/>
      <c r="Q199" s="642"/>
      <c r="R199" s="642"/>
      <c r="S199" s="642"/>
    </row>
    <row r="200" spans="1:19" x14ac:dyDescent="0.35">
      <c r="A200" s="642"/>
      <c r="B200" s="642"/>
      <c r="C200" s="642"/>
      <c r="D200" s="642"/>
      <c r="E200" s="642"/>
      <c r="F200" s="642"/>
      <c r="G200" s="642"/>
      <c r="H200" s="642"/>
      <c r="I200" s="642"/>
      <c r="J200" s="642"/>
      <c r="K200" s="642"/>
      <c r="L200" s="642"/>
      <c r="M200" s="642"/>
      <c r="N200" s="642"/>
      <c r="O200" s="642"/>
      <c r="P200" s="642"/>
      <c r="Q200" s="642"/>
      <c r="R200" s="642"/>
      <c r="S200" s="642"/>
    </row>
    <row r="201" spans="1:19" x14ac:dyDescent="0.35">
      <c r="A201" s="642"/>
      <c r="B201" s="642"/>
      <c r="C201" s="642"/>
      <c r="D201" s="642"/>
      <c r="E201" s="642"/>
      <c r="F201" s="642"/>
      <c r="G201" s="642"/>
      <c r="H201" s="642"/>
      <c r="I201" s="642"/>
      <c r="J201" s="642"/>
      <c r="K201" s="642"/>
      <c r="L201" s="642"/>
      <c r="M201" s="642"/>
      <c r="N201" s="642"/>
      <c r="O201" s="642"/>
      <c r="P201" s="642"/>
      <c r="Q201" s="642"/>
      <c r="R201" s="642"/>
      <c r="S201" s="642"/>
    </row>
    <row r="202" spans="1:19" x14ac:dyDescent="0.35">
      <c r="A202" s="642"/>
      <c r="B202" s="642"/>
      <c r="C202" s="642"/>
      <c r="D202" s="642"/>
      <c r="E202" s="642"/>
      <c r="F202" s="642"/>
      <c r="G202" s="642"/>
      <c r="H202" s="642"/>
      <c r="I202" s="642"/>
      <c r="J202" s="642"/>
      <c r="K202" s="642"/>
      <c r="L202" s="642"/>
      <c r="M202" s="642"/>
      <c r="N202" s="642"/>
      <c r="O202" s="642"/>
      <c r="P202" s="642"/>
      <c r="Q202" s="642"/>
      <c r="R202" s="642"/>
      <c r="S202" s="642"/>
    </row>
    <row r="203" spans="1:19" x14ac:dyDescent="0.35">
      <c r="A203" s="642"/>
      <c r="B203" s="642"/>
      <c r="C203" s="642"/>
      <c r="D203" s="642"/>
      <c r="E203" s="642"/>
      <c r="F203" s="642"/>
      <c r="G203" s="642"/>
      <c r="H203" s="642"/>
      <c r="I203" s="642"/>
      <c r="J203" s="642"/>
      <c r="K203" s="642"/>
      <c r="L203" s="642"/>
      <c r="M203" s="642"/>
      <c r="N203" s="642"/>
      <c r="O203" s="642"/>
      <c r="P203" s="642"/>
      <c r="Q203" s="642"/>
      <c r="R203" s="642"/>
      <c r="S203" s="642"/>
    </row>
    <row r="204" spans="1:19" x14ac:dyDescent="0.35">
      <c r="A204" s="642"/>
      <c r="B204" s="642"/>
      <c r="C204" s="642"/>
      <c r="D204" s="642"/>
      <c r="E204" s="642"/>
      <c r="F204" s="642"/>
      <c r="G204" s="642"/>
      <c r="H204" s="642"/>
      <c r="I204" s="642"/>
      <c r="J204" s="642"/>
      <c r="K204" s="642"/>
      <c r="L204" s="642"/>
      <c r="M204" s="642"/>
      <c r="N204" s="642"/>
      <c r="O204" s="642"/>
      <c r="P204" s="642"/>
      <c r="Q204" s="642"/>
      <c r="R204" s="642"/>
      <c r="S204" s="642"/>
    </row>
    <row r="205" spans="1:19" x14ac:dyDescent="0.35">
      <c r="A205" s="642"/>
      <c r="B205" s="642"/>
      <c r="C205" s="642"/>
      <c r="D205" s="642"/>
      <c r="E205" s="642"/>
      <c r="F205" s="642"/>
      <c r="G205" s="642"/>
      <c r="H205" s="642"/>
      <c r="I205" s="642"/>
      <c r="J205" s="642"/>
      <c r="K205" s="642"/>
      <c r="L205" s="642"/>
      <c r="M205" s="642"/>
      <c r="N205" s="642"/>
      <c r="O205" s="642"/>
      <c r="P205" s="642"/>
      <c r="Q205" s="642"/>
      <c r="R205" s="642"/>
      <c r="S205" s="642"/>
    </row>
    <row r="206" spans="1:19" x14ac:dyDescent="0.35">
      <c r="A206" s="642"/>
      <c r="B206" s="642"/>
      <c r="C206" s="642"/>
      <c r="D206" s="642"/>
      <c r="E206" s="642"/>
      <c r="F206" s="642"/>
      <c r="G206" s="642"/>
      <c r="H206" s="642"/>
      <c r="I206" s="642"/>
      <c r="J206" s="642"/>
      <c r="K206" s="642"/>
      <c r="L206" s="642"/>
      <c r="M206" s="642"/>
      <c r="N206" s="642"/>
      <c r="O206" s="642"/>
      <c r="P206" s="642"/>
      <c r="Q206" s="642"/>
      <c r="R206" s="642"/>
      <c r="S206" s="642"/>
    </row>
    <row r="207" spans="1:19" x14ac:dyDescent="0.35">
      <c r="A207" s="642"/>
      <c r="B207" s="642"/>
      <c r="C207" s="642"/>
      <c r="D207" s="642"/>
      <c r="E207" s="642"/>
      <c r="F207" s="642"/>
      <c r="G207" s="642"/>
      <c r="H207" s="642"/>
      <c r="I207" s="642"/>
      <c r="J207" s="642"/>
      <c r="K207" s="642"/>
      <c r="L207" s="642"/>
      <c r="M207" s="642"/>
      <c r="N207" s="642"/>
      <c r="O207" s="642"/>
      <c r="P207" s="642"/>
      <c r="Q207" s="642"/>
      <c r="R207" s="642"/>
      <c r="S207" s="642"/>
    </row>
    <row r="208" spans="1:19" x14ac:dyDescent="0.35">
      <c r="A208" s="642"/>
      <c r="B208" s="642"/>
      <c r="C208" s="642"/>
      <c r="D208" s="642"/>
      <c r="E208" s="642"/>
      <c r="F208" s="642"/>
      <c r="G208" s="642"/>
      <c r="H208" s="642"/>
      <c r="I208" s="642"/>
      <c r="J208" s="642"/>
      <c r="K208" s="642"/>
      <c r="L208" s="642"/>
      <c r="M208" s="642"/>
      <c r="N208" s="642"/>
      <c r="O208" s="642"/>
      <c r="P208" s="642"/>
      <c r="Q208" s="642"/>
      <c r="R208" s="642"/>
      <c r="S208" s="642"/>
    </row>
    <row r="209" spans="1:19" x14ac:dyDescent="0.35">
      <c r="A209" s="642"/>
      <c r="B209" s="642"/>
      <c r="C209" s="642"/>
      <c r="D209" s="642"/>
      <c r="E209" s="642"/>
      <c r="F209" s="642"/>
      <c r="G209" s="642"/>
      <c r="H209" s="642"/>
      <c r="I209" s="642"/>
      <c r="J209" s="642"/>
      <c r="K209" s="642"/>
      <c r="L209" s="642"/>
      <c r="M209" s="642"/>
      <c r="N209" s="642"/>
      <c r="O209" s="642"/>
      <c r="P209" s="642"/>
      <c r="Q209" s="642"/>
      <c r="R209" s="642"/>
      <c r="S209" s="642"/>
    </row>
    <row r="210" spans="1:19" x14ac:dyDescent="0.35">
      <c r="A210" s="642"/>
      <c r="B210" s="642"/>
      <c r="C210" s="642"/>
      <c r="D210" s="642"/>
      <c r="E210" s="642"/>
      <c r="F210" s="642"/>
      <c r="G210" s="642"/>
      <c r="H210" s="642"/>
      <c r="I210" s="642"/>
      <c r="J210" s="642"/>
      <c r="K210" s="642"/>
      <c r="L210" s="642"/>
      <c r="M210" s="642"/>
      <c r="N210" s="642"/>
      <c r="O210" s="642"/>
      <c r="P210" s="642"/>
      <c r="Q210" s="642"/>
      <c r="R210" s="642"/>
      <c r="S210" s="642"/>
    </row>
    <row r="211" spans="1:19" x14ac:dyDescent="0.35">
      <c r="A211" s="642"/>
      <c r="B211" s="642"/>
      <c r="C211" s="642"/>
      <c r="D211" s="642"/>
      <c r="E211" s="642"/>
      <c r="F211" s="642"/>
      <c r="G211" s="642"/>
      <c r="H211" s="642"/>
      <c r="I211" s="642"/>
      <c r="J211" s="642"/>
      <c r="K211" s="642"/>
      <c r="L211" s="642"/>
      <c r="M211" s="642"/>
      <c r="N211" s="642"/>
      <c r="O211" s="642"/>
      <c r="P211" s="642"/>
      <c r="Q211" s="642"/>
      <c r="R211" s="642"/>
      <c r="S211" s="642"/>
    </row>
    <row r="212" spans="1:19" x14ac:dyDescent="0.35">
      <c r="A212" s="642"/>
      <c r="B212" s="642"/>
      <c r="C212" s="642"/>
      <c r="D212" s="642"/>
      <c r="E212" s="642"/>
      <c r="F212" s="642"/>
      <c r="G212" s="642"/>
      <c r="H212" s="642"/>
      <c r="I212" s="642"/>
      <c r="J212" s="642"/>
      <c r="K212" s="642"/>
      <c r="L212" s="642"/>
      <c r="M212" s="642"/>
      <c r="N212" s="642"/>
      <c r="O212" s="642"/>
      <c r="P212" s="642"/>
      <c r="Q212" s="642"/>
      <c r="R212" s="642"/>
      <c r="S212" s="642"/>
    </row>
    <row r="213" spans="1:19" x14ac:dyDescent="0.35">
      <c r="A213" s="642"/>
      <c r="B213" s="642"/>
      <c r="C213" s="642"/>
      <c r="D213" s="642"/>
      <c r="E213" s="642"/>
      <c r="F213" s="642"/>
      <c r="G213" s="642"/>
      <c r="H213" s="642"/>
      <c r="I213" s="642"/>
      <c r="J213" s="642"/>
      <c r="K213" s="642"/>
      <c r="L213" s="642"/>
      <c r="M213" s="642"/>
      <c r="N213" s="642"/>
      <c r="O213" s="642"/>
      <c r="P213" s="642"/>
      <c r="Q213" s="642"/>
      <c r="R213" s="642"/>
      <c r="S213" s="642"/>
    </row>
    <row r="214" spans="1:19" x14ac:dyDescent="0.35">
      <c r="A214" s="642"/>
      <c r="B214" s="642"/>
      <c r="C214" s="642"/>
      <c r="D214" s="642"/>
      <c r="E214" s="642"/>
      <c r="F214" s="642"/>
      <c r="G214" s="642"/>
      <c r="H214" s="642"/>
      <c r="I214" s="642"/>
      <c r="J214" s="642"/>
      <c r="K214" s="642"/>
      <c r="L214" s="642"/>
      <c r="M214" s="642"/>
      <c r="N214" s="642"/>
      <c r="O214" s="642"/>
      <c r="P214" s="642"/>
      <c r="Q214" s="642"/>
      <c r="R214" s="642"/>
      <c r="S214" s="642"/>
    </row>
    <row r="215" spans="1:19" x14ac:dyDescent="0.35">
      <c r="A215" s="642"/>
      <c r="B215" s="642"/>
      <c r="C215" s="642"/>
      <c r="D215" s="642"/>
      <c r="E215" s="642"/>
      <c r="F215" s="642"/>
      <c r="G215" s="642"/>
      <c r="H215" s="642"/>
      <c r="I215" s="642"/>
      <c r="J215" s="642"/>
      <c r="K215" s="642"/>
      <c r="L215" s="642"/>
      <c r="M215" s="642"/>
      <c r="N215" s="642"/>
      <c r="O215" s="642"/>
      <c r="P215" s="642"/>
      <c r="Q215" s="642"/>
      <c r="R215" s="642"/>
      <c r="S215" s="642"/>
    </row>
    <row r="216" spans="1:19" x14ac:dyDescent="0.35">
      <c r="A216" s="642"/>
      <c r="B216" s="642"/>
      <c r="C216" s="642"/>
      <c r="D216" s="642"/>
      <c r="E216" s="642"/>
      <c r="F216" s="642"/>
      <c r="G216" s="642"/>
      <c r="H216" s="642"/>
      <c r="I216" s="642"/>
      <c r="J216" s="642"/>
      <c r="K216" s="642"/>
      <c r="L216" s="642"/>
      <c r="M216" s="642"/>
      <c r="N216" s="642"/>
      <c r="O216" s="642"/>
      <c r="P216" s="642"/>
      <c r="Q216" s="642"/>
      <c r="R216" s="642"/>
      <c r="S216" s="642"/>
    </row>
    <row r="217" spans="1:19" x14ac:dyDescent="0.35">
      <c r="A217" s="642"/>
      <c r="B217" s="642"/>
      <c r="C217" s="642"/>
      <c r="D217" s="642"/>
      <c r="E217" s="642"/>
      <c r="F217" s="642"/>
      <c r="G217" s="642"/>
      <c r="H217" s="642"/>
      <c r="I217" s="642"/>
      <c r="J217" s="642"/>
      <c r="K217" s="642"/>
      <c r="L217" s="642"/>
      <c r="M217" s="642"/>
      <c r="N217" s="642"/>
      <c r="O217" s="642"/>
      <c r="P217" s="642"/>
      <c r="Q217" s="642"/>
      <c r="R217" s="642"/>
      <c r="S217" s="642"/>
    </row>
    <row r="218" spans="1:19" x14ac:dyDescent="0.35">
      <c r="A218" s="642"/>
      <c r="B218" s="642"/>
      <c r="C218" s="642"/>
      <c r="D218" s="642"/>
      <c r="E218" s="642"/>
      <c r="F218" s="642"/>
      <c r="G218" s="642"/>
      <c r="H218" s="642"/>
      <c r="I218" s="642"/>
      <c r="J218" s="642"/>
      <c r="K218" s="642"/>
      <c r="L218" s="642"/>
      <c r="M218" s="642"/>
      <c r="N218" s="642"/>
      <c r="O218" s="642"/>
      <c r="P218" s="642"/>
      <c r="Q218" s="642"/>
      <c r="R218" s="642"/>
      <c r="S218" s="642"/>
    </row>
    <row r="219" spans="1:19" x14ac:dyDescent="0.35">
      <c r="A219" s="642"/>
      <c r="B219" s="642"/>
      <c r="C219" s="642"/>
      <c r="D219" s="642"/>
      <c r="E219" s="642"/>
      <c r="F219" s="642"/>
      <c r="G219" s="642"/>
      <c r="H219" s="642"/>
      <c r="I219" s="642"/>
      <c r="J219" s="642"/>
      <c r="K219" s="642"/>
      <c r="L219" s="642"/>
      <c r="M219" s="642"/>
      <c r="N219" s="642"/>
      <c r="O219" s="642"/>
      <c r="P219" s="642"/>
      <c r="Q219" s="642"/>
      <c r="R219" s="642"/>
      <c r="S219" s="642"/>
    </row>
    <row r="220" spans="1:19" x14ac:dyDescent="0.35">
      <c r="A220" s="642"/>
      <c r="B220" s="642"/>
      <c r="C220" s="642"/>
      <c r="D220" s="642"/>
      <c r="E220" s="642"/>
      <c r="F220" s="642"/>
      <c r="G220" s="642"/>
      <c r="H220" s="642"/>
      <c r="I220" s="642"/>
      <c r="J220" s="642"/>
      <c r="K220" s="642"/>
      <c r="L220" s="642"/>
      <c r="M220" s="642"/>
      <c r="N220" s="642"/>
      <c r="O220" s="642"/>
      <c r="P220" s="642"/>
      <c r="Q220" s="642"/>
      <c r="R220" s="642"/>
      <c r="S220" s="642"/>
    </row>
    <row r="221" spans="1:19" x14ac:dyDescent="0.35">
      <c r="A221" s="642"/>
      <c r="B221" s="642"/>
      <c r="C221" s="642"/>
      <c r="D221" s="642"/>
      <c r="E221" s="642"/>
      <c r="F221" s="642"/>
      <c r="G221" s="642"/>
      <c r="H221" s="642"/>
      <c r="I221" s="642"/>
      <c r="J221" s="642"/>
      <c r="K221" s="642"/>
      <c r="L221" s="642"/>
      <c r="M221" s="642"/>
      <c r="N221" s="642"/>
      <c r="O221" s="642"/>
      <c r="P221" s="642"/>
      <c r="Q221" s="642"/>
      <c r="R221" s="642"/>
      <c r="S221" s="642"/>
    </row>
    <row r="222" spans="1:19" x14ac:dyDescent="0.35">
      <c r="A222" s="642"/>
      <c r="B222" s="642"/>
      <c r="C222" s="642"/>
      <c r="D222" s="642"/>
      <c r="E222" s="642"/>
      <c r="F222" s="642"/>
      <c r="G222" s="642"/>
      <c r="H222" s="642"/>
      <c r="I222" s="642"/>
      <c r="J222" s="642"/>
      <c r="K222" s="642"/>
      <c r="L222" s="642"/>
      <c r="M222" s="642"/>
      <c r="N222" s="642"/>
      <c r="O222" s="642"/>
      <c r="P222" s="642"/>
      <c r="Q222" s="642"/>
      <c r="R222" s="642"/>
      <c r="S222" s="642"/>
    </row>
    <row r="223" spans="1:19" x14ac:dyDescent="0.35">
      <c r="A223" s="642"/>
      <c r="B223" s="642"/>
      <c r="C223" s="642"/>
      <c r="D223" s="642"/>
      <c r="E223" s="642"/>
      <c r="F223" s="642"/>
      <c r="G223" s="642"/>
      <c r="H223" s="642"/>
      <c r="I223" s="642"/>
      <c r="J223" s="642"/>
      <c r="K223" s="642"/>
      <c r="L223" s="642"/>
      <c r="M223" s="642"/>
      <c r="N223" s="642"/>
      <c r="O223" s="642"/>
      <c r="P223" s="642"/>
      <c r="Q223" s="642"/>
      <c r="R223" s="642"/>
      <c r="S223" s="642"/>
    </row>
    <row r="224" spans="1:19" x14ac:dyDescent="0.35">
      <c r="A224" s="642"/>
      <c r="B224" s="642"/>
      <c r="C224" s="642"/>
      <c r="D224" s="642"/>
      <c r="E224" s="642"/>
      <c r="F224" s="642"/>
      <c r="G224" s="642"/>
      <c r="H224" s="642"/>
      <c r="I224" s="642"/>
      <c r="J224" s="642"/>
      <c r="K224" s="642"/>
      <c r="L224" s="642"/>
      <c r="M224" s="642"/>
      <c r="N224" s="642"/>
      <c r="O224" s="642"/>
      <c r="P224" s="642"/>
      <c r="Q224" s="642"/>
      <c r="R224" s="642"/>
      <c r="S224" s="642"/>
    </row>
    <row r="225" spans="1:19" x14ac:dyDescent="0.35">
      <c r="A225" s="642"/>
      <c r="B225" s="642"/>
      <c r="C225" s="642"/>
      <c r="D225" s="642"/>
      <c r="E225" s="642"/>
      <c r="F225" s="642"/>
      <c r="G225" s="642"/>
      <c r="H225" s="642"/>
      <c r="I225" s="642"/>
      <c r="J225" s="642"/>
      <c r="K225" s="642"/>
      <c r="L225" s="642"/>
      <c r="M225" s="642"/>
      <c r="N225" s="642"/>
      <c r="O225" s="642"/>
      <c r="P225" s="642"/>
      <c r="Q225" s="642"/>
      <c r="R225" s="642"/>
      <c r="S225" s="642"/>
    </row>
    <row r="226" spans="1:19" x14ac:dyDescent="0.35">
      <c r="A226" s="642"/>
      <c r="B226" s="642"/>
      <c r="C226" s="642"/>
      <c r="D226" s="642"/>
      <c r="E226" s="642"/>
      <c r="F226" s="642"/>
      <c r="G226" s="642"/>
      <c r="H226" s="642"/>
      <c r="I226" s="642"/>
      <c r="J226" s="642"/>
      <c r="K226" s="642"/>
      <c r="L226" s="642"/>
      <c r="M226" s="642"/>
      <c r="N226" s="642"/>
      <c r="O226" s="642"/>
      <c r="P226" s="642"/>
      <c r="Q226" s="642"/>
      <c r="R226" s="642"/>
      <c r="S226" s="642"/>
    </row>
    <row r="227" spans="1:19" x14ac:dyDescent="0.35">
      <c r="A227" s="642"/>
      <c r="B227" s="642"/>
      <c r="C227" s="642"/>
      <c r="D227" s="642"/>
      <c r="E227" s="642"/>
      <c r="F227" s="642"/>
      <c r="G227" s="642"/>
      <c r="H227" s="642"/>
      <c r="I227" s="642"/>
      <c r="J227" s="642"/>
      <c r="K227" s="642"/>
      <c r="L227" s="642"/>
      <c r="M227" s="642"/>
      <c r="N227" s="642"/>
      <c r="O227" s="642"/>
      <c r="P227" s="642"/>
      <c r="Q227" s="642"/>
      <c r="R227" s="642"/>
      <c r="S227" s="642"/>
    </row>
    <row r="228" spans="1:19" x14ac:dyDescent="0.35">
      <c r="A228" s="642"/>
      <c r="B228" s="642"/>
      <c r="C228" s="642"/>
      <c r="D228" s="642"/>
      <c r="E228" s="642"/>
      <c r="F228" s="642"/>
      <c r="G228" s="642"/>
      <c r="H228" s="642"/>
      <c r="I228" s="642"/>
      <c r="J228" s="642"/>
      <c r="K228" s="642"/>
      <c r="L228" s="642"/>
      <c r="M228" s="642"/>
      <c r="N228" s="642"/>
      <c r="O228" s="642"/>
      <c r="P228" s="642"/>
      <c r="Q228" s="642"/>
      <c r="R228" s="642"/>
      <c r="S228" s="642"/>
    </row>
    <row r="229" spans="1:19" x14ac:dyDescent="0.35">
      <c r="A229" s="642"/>
      <c r="B229" s="642"/>
      <c r="C229" s="642"/>
      <c r="D229" s="642"/>
      <c r="E229" s="642"/>
      <c r="F229" s="642"/>
      <c r="G229" s="642"/>
      <c r="H229" s="642"/>
      <c r="I229" s="642"/>
      <c r="J229" s="642"/>
      <c r="K229" s="642"/>
      <c r="L229" s="642"/>
      <c r="M229" s="642"/>
      <c r="N229" s="642"/>
      <c r="O229" s="642"/>
      <c r="P229" s="642"/>
      <c r="Q229" s="642"/>
      <c r="R229" s="642"/>
      <c r="S229" s="642"/>
    </row>
    <row r="230" spans="1:19" x14ac:dyDescent="0.35">
      <c r="A230" s="642"/>
      <c r="B230" s="642"/>
      <c r="C230" s="642"/>
      <c r="D230" s="642"/>
      <c r="E230" s="642"/>
      <c r="F230" s="642"/>
      <c r="G230" s="642"/>
      <c r="H230" s="642"/>
      <c r="I230" s="642"/>
      <c r="J230" s="642"/>
      <c r="K230" s="642"/>
      <c r="L230" s="642"/>
      <c r="M230" s="642"/>
      <c r="N230" s="642"/>
      <c r="O230" s="642"/>
      <c r="P230" s="642"/>
      <c r="Q230" s="642"/>
      <c r="R230" s="642"/>
      <c r="S230" s="642"/>
    </row>
    <row r="231" spans="1:19" x14ac:dyDescent="0.35">
      <c r="A231" s="642"/>
      <c r="B231" s="642"/>
      <c r="C231" s="642"/>
      <c r="D231" s="642"/>
      <c r="E231" s="642"/>
      <c r="F231" s="642"/>
      <c r="G231" s="642"/>
      <c r="H231" s="642"/>
      <c r="I231" s="642"/>
      <c r="J231" s="642"/>
      <c r="K231" s="642"/>
      <c r="L231" s="642"/>
      <c r="M231" s="642"/>
      <c r="N231" s="642"/>
      <c r="O231" s="642"/>
      <c r="P231" s="642"/>
      <c r="Q231" s="642"/>
      <c r="R231" s="642"/>
      <c r="S231" s="642"/>
    </row>
    <row r="232" spans="1:19" x14ac:dyDescent="0.35">
      <c r="A232" s="642"/>
      <c r="B232" s="642"/>
      <c r="C232" s="642"/>
      <c r="D232" s="642"/>
      <c r="E232" s="642"/>
      <c r="F232" s="642"/>
      <c r="G232" s="642"/>
      <c r="H232" s="642"/>
      <c r="I232" s="642"/>
      <c r="J232" s="642"/>
      <c r="K232" s="642"/>
      <c r="L232" s="642"/>
      <c r="M232" s="642"/>
      <c r="N232" s="642"/>
      <c r="O232" s="642"/>
      <c r="P232" s="642"/>
      <c r="Q232" s="642"/>
      <c r="R232" s="642"/>
      <c r="S232" s="642"/>
    </row>
    <row r="233" spans="1:19" x14ac:dyDescent="0.35">
      <c r="A233" s="642"/>
      <c r="B233" s="642"/>
      <c r="C233" s="642"/>
      <c r="D233" s="642"/>
      <c r="E233" s="642"/>
      <c r="F233" s="642"/>
      <c r="G233" s="642"/>
      <c r="H233" s="642"/>
      <c r="I233" s="642"/>
      <c r="J233" s="642"/>
      <c r="K233" s="642"/>
      <c r="L233" s="642"/>
      <c r="M233" s="642"/>
      <c r="N233" s="642"/>
      <c r="O233" s="642"/>
      <c r="P233" s="642"/>
      <c r="Q233" s="642"/>
      <c r="R233" s="642"/>
      <c r="S233" s="642"/>
    </row>
    <row r="234" spans="1:19" x14ac:dyDescent="0.35">
      <c r="A234" s="642"/>
      <c r="B234" s="642"/>
      <c r="C234" s="642"/>
      <c r="D234" s="642"/>
      <c r="E234" s="642"/>
      <c r="F234" s="642"/>
      <c r="G234" s="642"/>
      <c r="H234" s="642"/>
      <c r="I234" s="642"/>
      <c r="J234" s="642"/>
      <c r="K234" s="642"/>
      <c r="L234" s="642"/>
      <c r="M234" s="642"/>
      <c r="N234" s="642"/>
      <c r="O234" s="642"/>
      <c r="P234" s="642"/>
      <c r="Q234" s="642"/>
      <c r="R234" s="642"/>
      <c r="S234" s="642"/>
    </row>
    <row r="235" spans="1:19" x14ac:dyDescent="0.35">
      <c r="A235" s="642"/>
      <c r="B235" s="642"/>
      <c r="C235" s="642"/>
      <c r="D235" s="642"/>
      <c r="E235" s="642"/>
      <c r="F235" s="642"/>
      <c r="G235" s="642"/>
      <c r="H235" s="642"/>
      <c r="I235" s="642"/>
      <c r="J235" s="642"/>
      <c r="K235" s="642"/>
      <c r="L235" s="642"/>
      <c r="M235" s="642"/>
      <c r="N235" s="642"/>
      <c r="O235" s="642"/>
      <c r="P235" s="642"/>
      <c r="Q235" s="642"/>
      <c r="R235" s="642"/>
      <c r="S235" s="642"/>
    </row>
    <row r="236" spans="1:19" x14ac:dyDescent="0.35">
      <c r="A236" s="642"/>
      <c r="B236" s="642"/>
      <c r="C236" s="642"/>
      <c r="D236" s="642"/>
      <c r="E236" s="642"/>
      <c r="F236" s="642"/>
      <c r="G236" s="642"/>
      <c r="H236" s="642"/>
      <c r="I236" s="642"/>
      <c r="J236" s="642"/>
      <c r="K236" s="642"/>
      <c r="L236" s="642"/>
      <c r="M236" s="642"/>
      <c r="N236" s="642"/>
      <c r="O236" s="642"/>
      <c r="P236" s="642"/>
      <c r="Q236" s="642"/>
      <c r="R236" s="642"/>
      <c r="S236" s="642"/>
    </row>
    <row r="237" spans="1:19" x14ac:dyDescent="0.35">
      <c r="A237" s="642"/>
      <c r="B237" s="642"/>
      <c r="C237" s="642"/>
      <c r="D237" s="642"/>
      <c r="E237" s="642"/>
      <c r="F237" s="642"/>
      <c r="G237" s="642"/>
      <c r="H237" s="642"/>
      <c r="I237" s="642"/>
      <c r="J237" s="642"/>
      <c r="K237" s="642"/>
      <c r="L237" s="642"/>
      <c r="M237" s="642"/>
      <c r="N237" s="642"/>
      <c r="O237" s="642"/>
      <c r="P237" s="642"/>
      <c r="Q237" s="642"/>
      <c r="R237" s="642"/>
      <c r="S237" s="642"/>
    </row>
    <row r="238" spans="1:19" x14ac:dyDescent="0.35">
      <c r="A238" s="642"/>
      <c r="B238" s="642"/>
      <c r="C238" s="642"/>
      <c r="D238" s="642"/>
      <c r="E238" s="642"/>
      <c r="F238" s="642"/>
      <c r="G238" s="642"/>
      <c r="H238" s="642"/>
      <c r="I238" s="642"/>
      <c r="J238" s="642"/>
      <c r="K238" s="642"/>
      <c r="L238" s="642"/>
      <c r="M238" s="642"/>
      <c r="N238" s="642"/>
      <c r="O238" s="642"/>
      <c r="P238" s="642"/>
      <c r="Q238" s="642"/>
      <c r="R238" s="642"/>
      <c r="S238" s="642"/>
    </row>
    <row r="239" spans="1:19" x14ac:dyDescent="0.35">
      <c r="A239" s="642"/>
      <c r="B239" s="642"/>
      <c r="C239" s="642"/>
      <c r="D239" s="642"/>
      <c r="E239" s="642"/>
      <c r="F239" s="642"/>
      <c r="G239" s="642"/>
      <c r="H239" s="642"/>
      <c r="I239" s="642"/>
      <c r="J239" s="642"/>
      <c r="K239" s="642"/>
      <c r="L239" s="642"/>
      <c r="M239" s="642"/>
      <c r="N239" s="642"/>
      <c r="O239" s="642"/>
      <c r="P239" s="642"/>
      <c r="Q239" s="642"/>
      <c r="R239" s="642"/>
      <c r="S239" s="642"/>
    </row>
    <row r="240" spans="1:19" x14ac:dyDescent="0.35">
      <c r="A240" s="642"/>
      <c r="B240" s="642"/>
      <c r="C240" s="642"/>
      <c r="D240" s="642"/>
      <c r="E240" s="642"/>
      <c r="F240" s="642"/>
      <c r="G240" s="642"/>
      <c r="H240" s="642"/>
      <c r="I240" s="642"/>
      <c r="J240" s="642"/>
      <c r="K240" s="642"/>
      <c r="L240" s="642"/>
      <c r="M240" s="642"/>
      <c r="N240" s="642"/>
      <c r="O240" s="642"/>
      <c r="P240" s="642"/>
      <c r="Q240" s="642"/>
      <c r="R240" s="642"/>
      <c r="S240" s="642"/>
    </row>
    <row r="241" spans="1:19" x14ac:dyDescent="0.35">
      <c r="A241" s="642"/>
      <c r="B241" s="642"/>
      <c r="C241" s="642"/>
      <c r="D241" s="642"/>
      <c r="E241" s="642"/>
      <c r="F241" s="642"/>
      <c r="G241" s="642"/>
      <c r="H241" s="642"/>
      <c r="I241" s="642"/>
      <c r="J241" s="642"/>
      <c r="K241" s="642"/>
      <c r="L241" s="642"/>
      <c r="M241" s="642"/>
      <c r="N241" s="642"/>
      <c r="O241" s="642"/>
      <c r="P241" s="642"/>
      <c r="Q241" s="642"/>
      <c r="R241" s="642"/>
      <c r="S241" s="642"/>
    </row>
    <row r="242" spans="1:19" x14ac:dyDescent="0.35">
      <c r="A242" s="642"/>
      <c r="B242" s="642"/>
      <c r="C242" s="642"/>
      <c r="D242" s="642"/>
      <c r="E242" s="642"/>
      <c r="F242" s="642"/>
      <c r="G242" s="642"/>
      <c r="H242" s="642"/>
      <c r="I242" s="642"/>
      <c r="J242" s="642"/>
      <c r="K242" s="642"/>
      <c r="L242" s="642"/>
      <c r="M242" s="642"/>
      <c r="N242" s="642"/>
      <c r="O242" s="642"/>
      <c r="P242" s="642"/>
      <c r="Q242" s="642"/>
      <c r="R242" s="642"/>
      <c r="S242" s="642"/>
    </row>
    <row r="243" spans="1:19" x14ac:dyDescent="0.35">
      <c r="A243" s="642"/>
      <c r="B243" s="642"/>
      <c r="C243" s="642"/>
      <c r="D243" s="642"/>
      <c r="E243" s="642"/>
      <c r="F243" s="642"/>
      <c r="G243" s="642"/>
      <c r="H243" s="642"/>
      <c r="I243" s="642"/>
      <c r="J243" s="642"/>
      <c r="K243" s="642"/>
      <c r="L243" s="642"/>
      <c r="M243" s="642"/>
      <c r="N243" s="642"/>
      <c r="O243" s="642"/>
      <c r="P243" s="642"/>
      <c r="Q243" s="642"/>
      <c r="R243" s="642"/>
      <c r="S243" s="642"/>
    </row>
    <row r="244" spans="1:19" x14ac:dyDescent="0.35">
      <c r="A244" s="642"/>
      <c r="B244" s="642"/>
      <c r="C244" s="642"/>
      <c r="D244" s="642"/>
      <c r="E244" s="642"/>
      <c r="F244" s="642"/>
      <c r="G244" s="642"/>
      <c r="H244" s="642"/>
      <c r="I244" s="642"/>
      <c r="J244" s="642"/>
      <c r="K244" s="642"/>
      <c r="L244" s="642"/>
      <c r="M244" s="642"/>
      <c r="N244" s="642"/>
      <c r="O244" s="642"/>
      <c r="P244" s="642"/>
      <c r="Q244" s="642"/>
      <c r="R244" s="642"/>
      <c r="S244" s="642"/>
    </row>
    <row r="245" spans="1:19" x14ac:dyDescent="0.35">
      <c r="A245" s="642"/>
      <c r="B245" s="642"/>
      <c r="C245" s="642"/>
      <c r="D245" s="642"/>
      <c r="E245" s="642"/>
      <c r="F245" s="642"/>
      <c r="G245" s="642"/>
      <c r="H245" s="642"/>
      <c r="I245" s="642"/>
      <c r="J245" s="642"/>
      <c r="K245" s="642"/>
      <c r="L245" s="642"/>
      <c r="M245" s="642"/>
      <c r="N245" s="642"/>
      <c r="O245" s="642"/>
      <c r="P245" s="642"/>
      <c r="Q245" s="642"/>
      <c r="R245" s="642"/>
      <c r="S245" s="642"/>
    </row>
    <row r="246" spans="1:19" x14ac:dyDescent="0.35">
      <c r="A246" s="642"/>
      <c r="B246" s="642"/>
      <c r="C246" s="642"/>
      <c r="D246" s="642"/>
      <c r="E246" s="642"/>
      <c r="F246" s="642"/>
      <c r="G246" s="642"/>
      <c r="H246" s="642"/>
      <c r="I246" s="642"/>
      <c r="J246" s="642"/>
      <c r="K246" s="642"/>
      <c r="L246" s="642"/>
      <c r="M246" s="642"/>
      <c r="N246" s="642"/>
      <c r="O246" s="642"/>
      <c r="P246" s="642"/>
      <c r="Q246" s="642"/>
      <c r="R246" s="642"/>
      <c r="S246" s="642"/>
    </row>
    <row r="247" spans="1:19" x14ac:dyDescent="0.35">
      <c r="A247" s="642"/>
      <c r="B247" s="642"/>
      <c r="C247" s="642"/>
      <c r="D247" s="642"/>
      <c r="E247" s="642"/>
      <c r="F247" s="642"/>
      <c r="G247" s="642"/>
      <c r="H247" s="642"/>
      <c r="I247" s="642"/>
      <c r="J247" s="642"/>
      <c r="K247" s="642"/>
      <c r="L247" s="642"/>
      <c r="M247" s="642"/>
      <c r="N247" s="642"/>
      <c r="O247" s="642"/>
      <c r="P247" s="642"/>
      <c r="Q247" s="642"/>
      <c r="R247" s="642"/>
      <c r="S247" s="642"/>
    </row>
    <row r="248" spans="1:19" x14ac:dyDescent="0.35">
      <c r="A248" s="642"/>
      <c r="B248" s="642"/>
      <c r="C248" s="642"/>
      <c r="D248" s="642"/>
      <c r="E248" s="642"/>
      <c r="F248" s="642"/>
      <c r="G248" s="642"/>
      <c r="H248" s="642"/>
      <c r="I248" s="642"/>
      <c r="J248" s="642"/>
      <c r="K248" s="642"/>
      <c r="L248" s="642"/>
      <c r="M248" s="642"/>
      <c r="N248" s="642"/>
      <c r="O248" s="642"/>
      <c r="P248" s="642"/>
      <c r="Q248" s="642"/>
      <c r="R248" s="642"/>
      <c r="S248" s="642"/>
    </row>
    <row r="249" spans="1:19" x14ac:dyDescent="0.35">
      <c r="A249" s="642"/>
      <c r="B249" s="642"/>
      <c r="C249" s="642"/>
      <c r="D249" s="642"/>
      <c r="E249" s="642"/>
      <c r="F249" s="642"/>
      <c r="G249" s="642"/>
      <c r="H249" s="642"/>
      <c r="I249" s="642"/>
      <c r="J249" s="642"/>
      <c r="K249" s="642"/>
      <c r="L249" s="642"/>
      <c r="M249" s="642"/>
      <c r="N249" s="642"/>
      <c r="O249" s="642"/>
      <c r="P249" s="642"/>
      <c r="Q249" s="642"/>
      <c r="R249" s="642"/>
      <c r="S249" s="642"/>
    </row>
    <row r="250" spans="1:19" x14ac:dyDescent="0.35">
      <c r="A250" s="642"/>
      <c r="B250" s="642"/>
      <c r="C250" s="642"/>
      <c r="D250" s="642"/>
      <c r="E250" s="642"/>
      <c r="F250" s="642"/>
      <c r="G250" s="642"/>
      <c r="H250" s="642"/>
      <c r="I250" s="642"/>
      <c r="J250" s="642"/>
      <c r="K250" s="642"/>
      <c r="L250" s="642"/>
      <c r="M250" s="642"/>
      <c r="N250" s="642"/>
      <c r="O250" s="642"/>
      <c r="P250" s="642"/>
      <c r="Q250" s="642"/>
      <c r="R250" s="642"/>
      <c r="S250" s="642"/>
    </row>
    <row r="251" spans="1:19" x14ac:dyDescent="0.35">
      <c r="A251" s="642"/>
      <c r="B251" s="642"/>
      <c r="C251" s="642"/>
      <c r="D251" s="642"/>
      <c r="E251" s="642"/>
      <c r="F251" s="642"/>
      <c r="G251" s="642"/>
      <c r="H251" s="642"/>
      <c r="I251" s="642"/>
      <c r="J251" s="642"/>
      <c r="K251" s="642"/>
      <c r="L251" s="642"/>
      <c r="M251" s="642"/>
      <c r="N251" s="642"/>
      <c r="O251" s="642"/>
      <c r="P251" s="642"/>
      <c r="Q251" s="642"/>
      <c r="R251" s="642"/>
      <c r="S251" s="642"/>
    </row>
    <row r="252" spans="1:19" x14ac:dyDescent="0.35">
      <c r="A252" s="642"/>
      <c r="B252" s="642"/>
      <c r="C252" s="642"/>
      <c r="D252" s="642"/>
      <c r="E252" s="642"/>
      <c r="F252" s="642"/>
      <c r="G252" s="642"/>
      <c r="H252" s="642"/>
      <c r="I252" s="642"/>
      <c r="J252" s="642"/>
      <c r="K252" s="642"/>
      <c r="L252" s="642"/>
      <c r="M252" s="642"/>
      <c r="N252" s="642"/>
      <c r="O252" s="642"/>
      <c r="P252" s="642"/>
      <c r="Q252" s="642"/>
      <c r="R252" s="642"/>
      <c r="S252" s="642"/>
    </row>
    <row r="253" spans="1:19" x14ac:dyDescent="0.35">
      <c r="A253" s="642"/>
      <c r="B253" s="642"/>
      <c r="C253" s="642"/>
      <c r="D253" s="642"/>
      <c r="E253" s="642"/>
      <c r="F253" s="642"/>
      <c r="G253" s="642"/>
      <c r="H253" s="642"/>
      <c r="I253" s="642"/>
      <c r="J253" s="642"/>
      <c r="K253" s="642"/>
      <c r="L253" s="642"/>
      <c r="M253" s="642"/>
      <c r="N253" s="642"/>
      <c r="O253" s="642"/>
      <c r="P253" s="642"/>
      <c r="Q253" s="642"/>
      <c r="R253" s="642"/>
      <c r="S253" s="642"/>
    </row>
    <row r="254" spans="1:19" x14ac:dyDescent="0.35">
      <c r="A254" s="642"/>
      <c r="B254" s="642"/>
      <c r="C254" s="642"/>
      <c r="D254" s="642"/>
      <c r="E254" s="642"/>
      <c r="F254" s="642"/>
      <c r="G254" s="642"/>
      <c r="H254" s="642"/>
      <c r="I254" s="642"/>
      <c r="J254" s="642"/>
      <c r="K254" s="642"/>
      <c r="L254" s="642"/>
      <c r="M254" s="642"/>
      <c r="N254" s="642"/>
      <c r="O254" s="642"/>
      <c r="P254" s="642"/>
      <c r="Q254" s="642"/>
      <c r="R254" s="642"/>
      <c r="S254" s="642"/>
    </row>
    <row r="255" spans="1:19" x14ac:dyDescent="0.35">
      <c r="A255" s="642"/>
      <c r="B255" s="642"/>
      <c r="C255" s="642"/>
      <c r="D255" s="642"/>
      <c r="E255" s="642"/>
      <c r="F255" s="642"/>
      <c r="G255" s="642"/>
      <c r="H255" s="642"/>
      <c r="I255" s="642"/>
      <c r="J255" s="642"/>
      <c r="K255" s="642"/>
      <c r="L255" s="642"/>
      <c r="M255" s="642"/>
      <c r="N255" s="642"/>
      <c r="O255" s="642"/>
      <c r="P255" s="642"/>
      <c r="Q255" s="642"/>
      <c r="R255" s="642"/>
      <c r="S255" s="642"/>
    </row>
    <row r="256" spans="1:19" x14ac:dyDescent="0.35">
      <c r="A256" s="642"/>
      <c r="B256" s="642"/>
      <c r="C256" s="642"/>
      <c r="D256" s="642"/>
      <c r="E256" s="642"/>
      <c r="F256" s="642"/>
      <c r="G256" s="642"/>
      <c r="H256" s="642"/>
      <c r="I256" s="642"/>
      <c r="J256" s="642"/>
      <c r="K256" s="642"/>
      <c r="L256" s="642"/>
      <c r="M256" s="642"/>
      <c r="N256" s="642"/>
      <c r="O256" s="642"/>
      <c r="P256" s="642"/>
      <c r="Q256" s="642"/>
      <c r="R256" s="642"/>
      <c r="S256" s="642"/>
    </row>
    <row r="257" spans="1:19" x14ac:dyDescent="0.35">
      <c r="A257" s="642"/>
      <c r="B257" s="642"/>
      <c r="C257" s="642"/>
      <c r="D257" s="642"/>
      <c r="E257" s="642"/>
      <c r="F257" s="642"/>
      <c r="G257" s="642"/>
      <c r="H257" s="642"/>
      <c r="I257" s="642"/>
      <c r="J257" s="642"/>
      <c r="K257" s="642"/>
      <c r="L257" s="642"/>
      <c r="M257" s="642"/>
      <c r="N257" s="642"/>
      <c r="O257" s="642"/>
      <c r="P257" s="642"/>
      <c r="Q257" s="642"/>
      <c r="R257" s="642"/>
      <c r="S257" s="642"/>
    </row>
    <row r="258" spans="1:19" x14ac:dyDescent="0.35">
      <c r="A258" s="642"/>
      <c r="B258" s="642"/>
      <c r="C258" s="642"/>
      <c r="D258" s="642"/>
      <c r="E258" s="642"/>
      <c r="F258" s="642"/>
      <c r="G258" s="642"/>
      <c r="H258" s="642"/>
      <c r="I258" s="642"/>
      <c r="J258" s="642"/>
      <c r="K258" s="642"/>
      <c r="L258" s="642"/>
      <c r="M258" s="642"/>
      <c r="N258" s="642"/>
      <c r="O258" s="642"/>
      <c r="P258" s="642"/>
      <c r="Q258" s="642"/>
      <c r="R258" s="642"/>
      <c r="S258" s="642"/>
    </row>
    <row r="259" spans="1:19" x14ac:dyDescent="0.35">
      <c r="A259" s="642"/>
      <c r="B259" s="642"/>
      <c r="C259" s="642"/>
      <c r="D259" s="642"/>
      <c r="E259" s="642"/>
      <c r="F259" s="642"/>
      <c r="G259" s="642"/>
      <c r="H259" s="642"/>
      <c r="I259" s="642"/>
      <c r="J259" s="642"/>
      <c r="K259" s="642"/>
      <c r="L259" s="642"/>
      <c r="M259" s="642"/>
      <c r="N259" s="642"/>
      <c r="O259" s="642"/>
      <c r="P259" s="642"/>
      <c r="Q259" s="642"/>
      <c r="R259" s="642"/>
      <c r="S259" s="642"/>
    </row>
    <row r="260" spans="1:19" x14ac:dyDescent="0.35">
      <c r="A260" s="642"/>
      <c r="B260" s="642"/>
      <c r="C260" s="642"/>
      <c r="D260" s="642"/>
      <c r="E260" s="642"/>
      <c r="F260" s="642"/>
      <c r="G260" s="642"/>
      <c r="H260" s="642"/>
      <c r="I260" s="642"/>
      <c r="J260" s="642"/>
      <c r="K260" s="642"/>
      <c r="L260" s="642"/>
      <c r="M260" s="642"/>
      <c r="N260" s="642"/>
      <c r="O260" s="642"/>
      <c r="P260" s="642"/>
      <c r="Q260" s="642"/>
      <c r="R260" s="642"/>
      <c r="S260" s="642"/>
    </row>
    <row r="261" spans="1:19" x14ac:dyDescent="0.35">
      <c r="A261" s="642"/>
      <c r="B261" s="642"/>
      <c r="C261" s="642"/>
      <c r="D261" s="642"/>
      <c r="E261" s="642"/>
      <c r="F261" s="642"/>
      <c r="G261" s="642"/>
      <c r="H261" s="642"/>
      <c r="I261" s="642"/>
      <c r="J261" s="642"/>
      <c r="K261" s="642"/>
      <c r="L261" s="642"/>
      <c r="M261" s="642"/>
      <c r="N261" s="642"/>
      <c r="O261" s="642"/>
      <c r="P261" s="642"/>
      <c r="Q261" s="642"/>
      <c r="R261" s="642"/>
      <c r="S261" s="642"/>
    </row>
    <row r="262" spans="1:19" x14ac:dyDescent="0.35">
      <c r="A262" s="642"/>
      <c r="B262" s="642"/>
      <c r="C262" s="642"/>
      <c r="D262" s="642"/>
      <c r="E262" s="642"/>
      <c r="F262" s="642"/>
      <c r="G262" s="642"/>
      <c r="H262" s="642"/>
      <c r="I262" s="642"/>
      <c r="J262" s="642"/>
      <c r="K262" s="642"/>
      <c r="L262" s="642"/>
      <c r="M262" s="642"/>
      <c r="N262" s="642"/>
      <c r="O262" s="642"/>
      <c r="P262" s="642"/>
      <c r="Q262" s="642"/>
      <c r="R262" s="642"/>
      <c r="S262" s="642"/>
    </row>
    <row r="263" spans="1:19" x14ac:dyDescent="0.35">
      <c r="A263" s="642"/>
      <c r="B263" s="642"/>
      <c r="C263" s="642"/>
      <c r="D263" s="642"/>
      <c r="E263" s="642"/>
      <c r="F263" s="642"/>
      <c r="G263" s="642"/>
      <c r="H263" s="642"/>
      <c r="I263" s="642"/>
      <c r="J263" s="642"/>
      <c r="K263" s="642"/>
      <c r="L263" s="642"/>
      <c r="M263" s="642"/>
      <c r="N263" s="642"/>
      <c r="O263" s="642"/>
      <c r="P263" s="642"/>
      <c r="Q263" s="642"/>
      <c r="R263" s="642"/>
      <c r="S263" s="642"/>
    </row>
    <row r="264" spans="1:19" x14ac:dyDescent="0.35">
      <c r="A264" s="642"/>
      <c r="B264" s="642"/>
      <c r="C264" s="642"/>
      <c r="D264" s="642"/>
      <c r="E264" s="642"/>
      <c r="F264" s="642"/>
      <c r="G264" s="642"/>
      <c r="H264" s="642"/>
      <c r="I264" s="642"/>
      <c r="J264" s="642"/>
      <c r="K264" s="642"/>
      <c r="L264" s="642"/>
      <c r="M264" s="642"/>
      <c r="N264" s="642"/>
      <c r="O264" s="642"/>
      <c r="P264" s="642"/>
      <c r="Q264" s="642"/>
      <c r="R264" s="642"/>
      <c r="S264" s="642"/>
    </row>
    <row r="265" spans="1:19" x14ac:dyDescent="0.35">
      <c r="A265" s="642"/>
      <c r="B265" s="642"/>
      <c r="C265" s="642"/>
      <c r="D265" s="642"/>
      <c r="E265" s="642"/>
      <c r="F265" s="642"/>
      <c r="G265" s="642"/>
      <c r="H265" s="642"/>
      <c r="I265" s="642"/>
      <c r="J265" s="642"/>
      <c r="K265" s="642"/>
      <c r="L265" s="642"/>
      <c r="M265" s="642"/>
      <c r="N265" s="642"/>
      <c r="O265" s="642"/>
      <c r="P265" s="642"/>
      <c r="Q265" s="642"/>
      <c r="R265" s="642"/>
      <c r="S265" s="642"/>
    </row>
    <row r="266" spans="1:19" x14ac:dyDescent="0.35">
      <c r="A266" s="642"/>
      <c r="B266" s="642"/>
      <c r="C266" s="642"/>
      <c r="D266" s="642"/>
      <c r="E266" s="642"/>
      <c r="F266" s="642"/>
      <c r="G266" s="642"/>
      <c r="H266" s="642"/>
      <c r="I266" s="642"/>
      <c r="J266" s="642"/>
      <c r="K266" s="642"/>
      <c r="L266" s="642"/>
      <c r="M266" s="642"/>
      <c r="N266" s="642"/>
      <c r="O266" s="642"/>
      <c r="P266" s="642"/>
      <c r="Q266" s="642"/>
      <c r="R266" s="642"/>
      <c r="S266" s="642"/>
    </row>
    <row r="267" spans="1:19" x14ac:dyDescent="0.35">
      <c r="A267" s="642"/>
      <c r="B267" s="642"/>
      <c r="C267" s="642"/>
      <c r="D267" s="642"/>
      <c r="E267" s="642"/>
      <c r="F267" s="642"/>
      <c r="G267" s="642"/>
      <c r="H267" s="642"/>
      <c r="I267" s="642"/>
      <c r="J267" s="642"/>
      <c r="K267" s="642"/>
      <c r="L267" s="642"/>
      <c r="M267" s="642"/>
      <c r="N267" s="642"/>
      <c r="O267" s="642"/>
      <c r="P267" s="642"/>
      <c r="Q267" s="642"/>
      <c r="R267" s="642"/>
      <c r="S267" s="642"/>
    </row>
    <row r="268" spans="1:19" x14ac:dyDescent="0.35">
      <c r="A268" s="642"/>
      <c r="B268" s="642"/>
      <c r="C268" s="642"/>
      <c r="D268" s="642"/>
      <c r="E268" s="642"/>
      <c r="F268" s="642"/>
      <c r="G268" s="642"/>
      <c r="H268" s="642"/>
      <c r="I268" s="642"/>
      <c r="J268" s="642"/>
      <c r="K268" s="642"/>
      <c r="L268" s="642"/>
      <c r="M268" s="642"/>
      <c r="N268" s="642"/>
      <c r="O268" s="642"/>
      <c r="P268" s="642"/>
      <c r="Q268" s="642"/>
      <c r="R268" s="642"/>
      <c r="S268" s="642"/>
    </row>
    <row r="269" spans="1:19" x14ac:dyDescent="0.35">
      <c r="A269" s="642"/>
      <c r="B269" s="642"/>
      <c r="C269" s="642"/>
      <c r="D269" s="642"/>
      <c r="E269" s="642"/>
      <c r="F269" s="642"/>
      <c r="G269" s="642"/>
      <c r="H269" s="642"/>
      <c r="I269" s="642"/>
      <c r="J269" s="642"/>
      <c r="K269" s="642"/>
      <c r="L269" s="642"/>
      <c r="M269" s="642"/>
      <c r="N269" s="642"/>
      <c r="O269" s="642"/>
      <c r="P269" s="642"/>
      <c r="Q269" s="642"/>
      <c r="R269" s="642"/>
      <c r="S269" s="642"/>
    </row>
    <row r="270" spans="1:19" x14ac:dyDescent="0.35">
      <c r="A270" s="642"/>
      <c r="B270" s="642"/>
      <c r="C270" s="642"/>
      <c r="D270" s="642"/>
      <c r="E270" s="642"/>
      <c r="F270" s="642"/>
      <c r="G270" s="642"/>
      <c r="H270" s="642"/>
      <c r="I270" s="642"/>
      <c r="J270" s="642"/>
      <c r="K270" s="642"/>
      <c r="L270" s="642"/>
      <c r="M270" s="642"/>
      <c r="N270" s="642"/>
      <c r="O270" s="642"/>
      <c r="P270" s="642"/>
      <c r="Q270" s="642"/>
      <c r="R270" s="642"/>
      <c r="S270" s="642"/>
    </row>
    <row r="271" spans="1:19" x14ac:dyDescent="0.35">
      <c r="A271" s="642"/>
      <c r="B271" s="642"/>
      <c r="C271" s="642"/>
      <c r="D271" s="642"/>
      <c r="E271" s="642"/>
      <c r="F271" s="642"/>
      <c r="G271" s="642"/>
      <c r="H271" s="642"/>
      <c r="I271" s="642"/>
      <c r="J271" s="642"/>
      <c r="K271" s="642"/>
      <c r="L271" s="642"/>
      <c r="M271" s="642"/>
      <c r="N271" s="642"/>
      <c r="O271" s="642"/>
      <c r="P271" s="642"/>
      <c r="Q271" s="642"/>
      <c r="R271" s="642"/>
      <c r="S271" s="642"/>
    </row>
    <row r="272" spans="1:19" x14ac:dyDescent="0.35">
      <c r="A272" s="642"/>
      <c r="B272" s="642"/>
      <c r="C272" s="642"/>
      <c r="D272" s="642"/>
      <c r="E272" s="642"/>
      <c r="F272" s="642"/>
      <c r="G272" s="642"/>
      <c r="H272" s="642"/>
      <c r="I272" s="642"/>
      <c r="J272" s="642"/>
      <c r="K272" s="642"/>
      <c r="L272" s="642"/>
      <c r="M272" s="642"/>
      <c r="N272" s="642"/>
      <c r="O272" s="642"/>
      <c r="P272" s="642"/>
      <c r="Q272" s="642"/>
      <c r="R272" s="642"/>
      <c r="S272" s="642"/>
    </row>
    <row r="273" spans="1:19" x14ac:dyDescent="0.35">
      <c r="A273" s="642"/>
      <c r="B273" s="642"/>
      <c r="C273" s="642"/>
      <c r="D273" s="642"/>
      <c r="E273" s="642"/>
      <c r="F273" s="642"/>
      <c r="G273" s="642"/>
      <c r="H273" s="642"/>
      <c r="I273" s="642"/>
      <c r="J273" s="642"/>
      <c r="K273" s="642"/>
      <c r="L273" s="642"/>
      <c r="M273" s="642"/>
      <c r="N273" s="642"/>
      <c r="O273" s="642"/>
      <c r="P273" s="642"/>
      <c r="Q273" s="642"/>
      <c r="R273" s="642"/>
      <c r="S273" s="642"/>
    </row>
    <row r="274" spans="1:19" x14ac:dyDescent="0.35">
      <c r="A274" s="642"/>
      <c r="B274" s="642"/>
      <c r="C274" s="642"/>
      <c r="D274" s="642"/>
      <c r="E274" s="642"/>
      <c r="F274" s="642"/>
      <c r="G274" s="642"/>
      <c r="H274" s="642"/>
      <c r="I274" s="642"/>
      <c r="J274" s="642"/>
      <c r="K274" s="642"/>
      <c r="L274" s="642"/>
      <c r="M274" s="642"/>
      <c r="N274" s="642"/>
      <c r="O274" s="642"/>
      <c r="P274" s="642"/>
      <c r="Q274" s="642"/>
      <c r="R274" s="642"/>
      <c r="S274" s="642"/>
    </row>
    <row r="275" spans="1:19" x14ac:dyDescent="0.35">
      <c r="A275" s="642"/>
      <c r="B275" s="642"/>
      <c r="C275" s="642"/>
      <c r="D275" s="642"/>
      <c r="E275" s="642"/>
      <c r="F275" s="642"/>
      <c r="G275" s="642"/>
      <c r="H275" s="642"/>
      <c r="I275" s="642"/>
      <c r="J275" s="642"/>
      <c r="K275" s="642"/>
      <c r="L275" s="642"/>
      <c r="M275" s="642"/>
      <c r="N275" s="642"/>
      <c r="O275" s="642"/>
      <c r="P275" s="642"/>
      <c r="Q275" s="642"/>
      <c r="R275" s="642"/>
      <c r="S275" s="642"/>
    </row>
    <row r="276" spans="1:19" x14ac:dyDescent="0.35">
      <c r="A276" s="642"/>
      <c r="B276" s="642"/>
      <c r="C276" s="642"/>
      <c r="D276" s="642"/>
      <c r="E276" s="642"/>
      <c r="F276" s="642"/>
      <c r="G276" s="642"/>
      <c r="H276" s="642"/>
      <c r="I276" s="642"/>
      <c r="J276" s="642"/>
      <c r="K276" s="642"/>
      <c r="L276" s="642"/>
      <c r="M276" s="642"/>
      <c r="N276" s="642"/>
      <c r="O276" s="642"/>
      <c r="P276" s="642"/>
      <c r="Q276" s="642"/>
      <c r="R276" s="642"/>
      <c r="S276" s="642"/>
    </row>
    <row r="277" spans="1:19" x14ac:dyDescent="0.35">
      <c r="A277" s="642"/>
      <c r="B277" s="642"/>
      <c r="C277" s="642"/>
      <c r="D277" s="642"/>
      <c r="E277" s="642"/>
      <c r="F277" s="642"/>
      <c r="G277" s="642"/>
      <c r="H277" s="642"/>
      <c r="I277" s="642"/>
      <c r="J277" s="642"/>
      <c r="K277" s="642"/>
      <c r="L277" s="642"/>
      <c r="M277" s="642"/>
      <c r="N277" s="642"/>
      <c r="O277" s="642"/>
      <c r="P277" s="642"/>
      <c r="Q277" s="642"/>
      <c r="R277" s="642"/>
      <c r="S277" s="642"/>
    </row>
    <row r="278" spans="1:19" x14ac:dyDescent="0.35">
      <c r="A278" s="642"/>
      <c r="B278" s="642"/>
      <c r="C278" s="642"/>
      <c r="D278" s="642"/>
      <c r="E278" s="642"/>
      <c r="F278" s="642"/>
      <c r="G278" s="642"/>
      <c r="H278" s="642"/>
      <c r="I278" s="642"/>
      <c r="J278" s="642"/>
      <c r="K278" s="642"/>
      <c r="L278" s="642"/>
      <c r="M278" s="642"/>
      <c r="N278" s="642"/>
      <c r="O278" s="642"/>
      <c r="P278" s="642"/>
      <c r="Q278" s="642"/>
      <c r="R278" s="642"/>
      <c r="S278" s="642"/>
    </row>
    <row r="279" spans="1:19" x14ac:dyDescent="0.35">
      <c r="A279" s="642"/>
      <c r="B279" s="642"/>
      <c r="C279" s="642"/>
      <c r="D279" s="642"/>
      <c r="E279" s="642"/>
      <c r="F279" s="642"/>
      <c r="G279" s="642"/>
      <c r="H279" s="642"/>
      <c r="I279" s="642"/>
      <c r="J279" s="642"/>
      <c r="K279" s="642"/>
      <c r="L279" s="642"/>
      <c r="M279" s="642"/>
      <c r="N279" s="642"/>
      <c r="O279" s="642"/>
      <c r="P279" s="642"/>
      <c r="Q279" s="642"/>
      <c r="R279" s="642"/>
      <c r="S279" s="642"/>
    </row>
    <row r="280" spans="1:19" x14ac:dyDescent="0.35">
      <c r="A280" s="642"/>
      <c r="B280" s="642"/>
      <c r="C280" s="642"/>
      <c r="D280" s="642"/>
      <c r="E280" s="642"/>
      <c r="F280" s="642"/>
      <c r="G280" s="642"/>
      <c r="H280" s="642"/>
      <c r="I280" s="642"/>
      <c r="J280" s="642"/>
      <c r="K280" s="642"/>
      <c r="L280" s="642"/>
      <c r="M280" s="642"/>
      <c r="N280" s="642"/>
      <c r="O280" s="642"/>
      <c r="P280" s="642"/>
      <c r="Q280" s="642"/>
      <c r="R280" s="642"/>
      <c r="S280" s="642"/>
    </row>
    <row r="281" spans="1:19" x14ac:dyDescent="0.35">
      <c r="A281" s="642"/>
      <c r="B281" s="642"/>
      <c r="C281" s="642"/>
      <c r="D281" s="642"/>
      <c r="E281" s="642"/>
      <c r="F281" s="642"/>
      <c r="G281" s="642"/>
      <c r="H281" s="642"/>
      <c r="I281" s="642"/>
      <c r="J281" s="642"/>
      <c r="K281" s="642"/>
      <c r="L281" s="642"/>
      <c r="M281" s="642"/>
      <c r="N281" s="642"/>
      <c r="O281" s="642"/>
      <c r="P281" s="642"/>
      <c r="Q281" s="642"/>
      <c r="R281" s="642"/>
      <c r="S281" s="642"/>
    </row>
    <row r="282" spans="1:19" x14ac:dyDescent="0.35">
      <c r="A282" s="642"/>
      <c r="B282" s="642"/>
      <c r="C282" s="642"/>
      <c r="D282" s="642"/>
      <c r="E282" s="642"/>
      <c r="F282" s="642"/>
      <c r="G282" s="642"/>
      <c r="H282" s="642"/>
      <c r="I282" s="642"/>
      <c r="J282" s="642"/>
      <c r="K282" s="642"/>
      <c r="L282" s="642"/>
      <c r="M282" s="642"/>
      <c r="N282" s="642"/>
      <c r="O282" s="642"/>
      <c r="P282" s="642"/>
      <c r="Q282" s="642"/>
      <c r="R282" s="642"/>
      <c r="S282" s="642"/>
    </row>
    <row r="283" spans="1:19" x14ac:dyDescent="0.35">
      <c r="A283" s="642"/>
      <c r="B283" s="642"/>
      <c r="C283" s="642"/>
      <c r="D283" s="642"/>
      <c r="E283" s="642"/>
      <c r="F283" s="642"/>
      <c r="G283" s="642"/>
      <c r="H283" s="642"/>
      <c r="I283" s="642"/>
      <c r="J283" s="642"/>
      <c r="K283" s="642"/>
      <c r="L283" s="642"/>
      <c r="M283" s="642"/>
      <c r="N283" s="642"/>
      <c r="O283" s="642"/>
      <c r="P283" s="642"/>
      <c r="Q283" s="642"/>
      <c r="R283" s="642"/>
      <c r="S283" s="642"/>
    </row>
    <row r="284" spans="1:19" x14ac:dyDescent="0.35">
      <c r="A284" s="642"/>
      <c r="B284" s="642"/>
      <c r="C284" s="642"/>
      <c r="D284" s="642"/>
      <c r="E284" s="642"/>
      <c r="F284" s="642"/>
      <c r="G284" s="642"/>
      <c r="H284" s="642"/>
      <c r="I284" s="642"/>
      <c r="J284" s="642"/>
      <c r="K284" s="642"/>
      <c r="L284" s="642"/>
      <c r="M284" s="642"/>
      <c r="N284" s="642"/>
      <c r="O284" s="642"/>
      <c r="P284" s="642"/>
      <c r="Q284" s="642"/>
      <c r="R284" s="642"/>
      <c r="S284" s="642"/>
    </row>
    <row r="285" spans="1:19" x14ac:dyDescent="0.35">
      <c r="A285" s="642"/>
      <c r="B285" s="642"/>
      <c r="C285" s="642"/>
      <c r="D285" s="642"/>
      <c r="E285" s="642"/>
      <c r="F285" s="642"/>
      <c r="G285" s="642"/>
      <c r="H285" s="642"/>
      <c r="I285" s="642"/>
      <c r="J285" s="642"/>
      <c r="K285" s="642"/>
      <c r="L285" s="642"/>
      <c r="M285" s="642"/>
      <c r="N285" s="642"/>
      <c r="O285" s="642"/>
      <c r="P285" s="642"/>
      <c r="Q285" s="642"/>
      <c r="R285" s="642"/>
      <c r="S285" s="642"/>
    </row>
    <row r="286" spans="1:19" x14ac:dyDescent="0.35">
      <c r="A286" s="642"/>
      <c r="B286" s="642"/>
      <c r="C286" s="642"/>
      <c r="D286" s="642"/>
      <c r="E286" s="642"/>
      <c r="F286" s="642"/>
      <c r="G286" s="642"/>
      <c r="H286" s="642"/>
      <c r="I286" s="642"/>
      <c r="J286" s="642"/>
      <c r="K286" s="642"/>
      <c r="L286" s="642"/>
      <c r="M286" s="642"/>
      <c r="N286" s="642"/>
      <c r="O286" s="642"/>
      <c r="P286" s="642"/>
      <c r="Q286" s="642"/>
      <c r="R286" s="642"/>
      <c r="S286" s="642"/>
    </row>
    <row r="287" spans="1:19" x14ac:dyDescent="0.35">
      <c r="A287" s="642"/>
      <c r="B287" s="642"/>
      <c r="C287" s="642"/>
      <c r="D287" s="642"/>
      <c r="E287" s="642"/>
      <c r="F287" s="642"/>
      <c r="G287" s="642"/>
      <c r="H287" s="642"/>
      <c r="I287" s="642"/>
      <c r="J287" s="642"/>
      <c r="K287" s="642"/>
      <c r="L287" s="642"/>
      <c r="M287" s="642"/>
      <c r="N287" s="642"/>
      <c r="O287" s="642"/>
      <c r="P287" s="642"/>
      <c r="Q287" s="642"/>
      <c r="R287" s="642"/>
      <c r="S287" s="642"/>
    </row>
    <row r="288" spans="1:19" x14ac:dyDescent="0.35">
      <c r="A288" s="642"/>
      <c r="B288" s="642"/>
      <c r="C288" s="642"/>
      <c r="D288" s="642"/>
      <c r="E288" s="642"/>
      <c r="F288" s="642"/>
      <c r="G288" s="642"/>
      <c r="H288" s="642"/>
      <c r="I288" s="642"/>
      <c r="J288" s="642"/>
      <c r="K288" s="642"/>
      <c r="L288" s="642"/>
      <c r="M288" s="642"/>
      <c r="N288" s="642"/>
      <c r="O288" s="642"/>
      <c r="P288" s="642"/>
      <c r="Q288" s="642"/>
      <c r="R288" s="642"/>
      <c r="S288" s="642"/>
    </row>
    <row r="289" spans="1:19" x14ac:dyDescent="0.35">
      <c r="A289" s="642"/>
      <c r="B289" s="642"/>
      <c r="C289" s="642"/>
      <c r="D289" s="642"/>
      <c r="E289" s="642"/>
      <c r="F289" s="642"/>
      <c r="G289" s="642"/>
      <c r="H289" s="642"/>
      <c r="I289" s="642"/>
      <c r="J289" s="642"/>
      <c r="K289" s="642"/>
      <c r="L289" s="642"/>
      <c r="M289" s="642"/>
      <c r="N289" s="642"/>
      <c r="O289" s="642"/>
      <c r="P289" s="642"/>
      <c r="Q289" s="642"/>
      <c r="R289" s="642"/>
      <c r="S289" s="642"/>
    </row>
    <row r="290" spans="1:19" x14ac:dyDescent="0.35">
      <c r="A290" s="642"/>
      <c r="B290" s="642"/>
      <c r="C290" s="642"/>
      <c r="D290" s="642"/>
      <c r="E290" s="642"/>
      <c r="F290" s="642"/>
      <c r="G290" s="642"/>
      <c r="H290" s="642"/>
      <c r="I290" s="642"/>
      <c r="J290" s="642"/>
      <c r="K290" s="642"/>
      <c r="L290" s="642"/>
      <c r="M290" s="642"/>
      <c r="N290" s="642"/>
      <c r="O290" s="642"/>
      <c r="P290" s="642"/>
      <c r="Q290" s="642"/>
      <c r="R290" s="642"/>
      <c r="S290" s="642"/>
    </row>
    <row r="291" spans="1:19" x14ac:dyDescent="0.35">
      <c r="I291" s="642"/>
      <c r="J291" s="642"/>
      <c r="K291" s="642"/>
      <c r="L291" s="642"/>
      <c r="M291" s="642"/>
      <c r="N291" s="642"/>
      <c r="O291" s="642"/>
      <c r="P291" s="642"/>
      <c r="Q291" s="642"/>
      <c r="R291" s="642"/>
      <c r="S291" s="642"/>
    </row>
    <row r="292" spans="1:19" x14ac:dyDescent="0.35">
      <c r="I292" s="642"/>
      <c r="J292" s="642"/>
      <c r="K292" s="642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Voed">
    <tabColor rgb="FFFFC000"/>
  </sheetPr>
  <dimension ref="A1:R76"/>
  <sheetViews>
    <sheetView topLeftCell="A4" workbookViewId="0"/>
  </sheetViews>
  <sheetFormatPr defaultColWidth="9.1328125" defaultRowHeight="14.35" x14ac:dyDescent="0.45"/>
  <cols>
    <col min="1" max="1" width="10.86328125" style="662" bestFit="1" customWidth="1"/>
    <col min="2" max="2" width="32.265625" style="662" bestFit="1" customWidth="1"/>
    <col min="3" max="14" width="8.265625" style="662" customWidth="1"/>
    <col min="15" max="15" width="6.73046875" style="662" customWidth="1"/>
    <col min="16" max="16384" width="9.1328125" style="662"/>
  </cols>
  <sheetData>
    <row r="1" spans="1:18" x14ac:dyDescent="0.45">
      <c r="B1" s="688"/>
      <c r="C1" s="689" t="s">
        <v>1120</v>
      </c>
      <c r="D1" s="690"/>
      <c r="E1" s="690"/>
      <c r="F1" s="690"/>
      <c r="G1" s="690"/>
      <c r="H1" s="690"/>
      <c r="I1" s="690"/>
      <c r="J1" s="691"/>
    </row>
    <row r="2" spans="1:18" x14ac:dyDescent="0.45">
      <c r="C2" s="692" t="s">
        <v>61</v>
      </c>
      <c r="D2" s="693" t="s">
        <v>166</v>
      </c>
      <c r="E2" s="693" t="s">
        <v>166</v>
      </c>
      <c r="F2" s="693" t="s">
        <v>166</v>
      </c>
      <c r="G2" s="694" t="s">
        <v>166</v>
      </c>
      <c r="H2" s="694" t="s">
        <v>166</v>
      </c>
      <c r="I2" s="694" t="s">
        <v>1121</v>
      </c>
      <c r="J2" s="695" t="s">
        <v>1122</v>
      </c>
    </row>
    <row r="3" spans="1:18" x14ac:dyDescent="0.45">
      <c r="C3" s="696" t="s">
        <v>248</v>
      </c>
      <c r="D3" s="697" t="s">
        <v>249</v>
      </c>
      <c r="E3" s="697" t="s">
        <v>250</v>
      </c>
      <c r="F3" s="697" t="s">
        <v>257</v>
      </c>
      <c r="G3" s="697" t="s">
        <v>251</v>
      </c>
      <c r="H3" s="697" t="s">
        <v>983</v>
      </c>
      <c r="I3" s="697" t="s">
        <v>984</v>
      </c>
      <c r="J3" s="698" t="s">
        <v>637</v>
      </c>
    </row>
    <row r="4" spans="1:18" ht="14.7" thickBot="1" x14ac:dyDescent="0.5">
      <c r="C4" s="699">
        <v>4.3478000000000003E-2</v>
      </c>
      <c r="D4" s="700">
        <v>2.5641000000000001E-2</v>
      </c>
      <c r="E4" s="700">
        <v>2.4899999999999999E-2</v>
      </c>
      <c r="F4" s="700">
        <v>3.2288999999999998E-2</v>
      </c>
      <c r="G4" s="700">
        <v>4.1140999999999997E-2</v>
      </c>
      <c r="H4" s="701">
        <v>1.7899999999999999E-2</v>
      </c>
      <c r="I4" s="702">
        <v>40</v>
      </c>
      <c r="J4" s="703">
        <v>2.8205999999999998E-2</v>
      </c>
    </row>
    <row r="7" spans="1:18" x14ac:dyDescent="0.45">
      <c r="A7" s="752" t="s">
        <v>1064</v>
      </c>
      <c r="B7" s="663" t="s">
        <v>528</v>
      </c>
    </row>
    <row r="8" spans="1:18" x14ac:dyDescent="0.45">
      <c r="C8" s="663"/>
      <c r="D8" s="653" t="s">
        <v>31</v>
      </c>
      <c r="E8" s="653" t="s">
        <v>31</v>
      </c>
      <c r="F8" s="653" t="s">
        <v>31</v>
      </c>
      <c r="G8" s="653" t="s">
        <v>176</v>
      </c>
      <c r="H8" s="653" t="s">
        <v>176</v>
      </c>
      <c r="I8" s="653" t="s">
        <v>176</v>
      </c>
      <c r="J8" s="653" t="s">
        <v>176</v>
      </c>
      <c r="K8" s="653" t="s">
        <v>176</v>
      </c>
      <c r="L8" s="653" t="s">
        <v>176</v>
      </c>
      <c r="M8" s="653" t="s">
        <v>985</v>
      </c>
      <c r="N8" s="653" t="s">
        <v>176</v>
      </c>
      <c r="O8" s="653"/>
    </row>
    <row r="9" spans="1:18" x14ac:dyDescent="0.45">
      <c r="A9" s="647" t="s">
        <v>1065</v>
      </c>
      <c r="B9" s="653"/>
      <c r="C9" s="653" t="s">
        <v>255</v>
      </c>
      <c r="D9" s="653" t="s">
        <v>246</v>
      </c>
      <c r="E9" s="653" t="s">
        <v>584</v>
      </c>
      <c r="F9" s="653" t="s">
        <v>585</v>
      </c>
      <c r="G9" s="653" t="s">
        <v>248</v>
      </c>
      <c r="H9" s="653" t="s">
        <v>249</v>
      </c>
      <c r="I9" s="653" t="s">
        <v>250</v>
      </c>
      <c r="J9" s="653" t="s">
        <v>583</v>
      </c>
      <c r="K9" s="653" t="s">
        <v>251</v>
      </c>
      <c r="L9" s="653" t="s">
        <v>983</v>
      </c>
      <c r="M9" s="653" t="s">
        <v>984</v>
      </c>
      <c r="N9" s="653" t="s">
        <v>637</v>
      </c>
      <c r="O9" s="653"/>
    </row>
    <row r="10" spans="1:18" x14ac:dyDescent="0.45">
      <c r="A10" s="653" t="s">
        <v>1066</v>
      </c>
      <c r="B10" s="653"/>
      <c r="C10" s="653" t="s">
        <v>255</v>
      </c>
      <c r="D10" s="653" t="s">
        <v>212</v>
      </c>
      <c r="E10" s="653" t="s">
        <v>256</v>
      </c>
      <c r="F10" s="653" t="s">
        <v>213</v>
      </c>
      <c r="G10" s="653" t="s">
        <v>248</v>
      </c>
      <c r="H10" s="653" t="s">
        <v>249</v>
      </c>
      <c r="I10" s="653" t="s">
        <v>250</v>
      </c>
      <c r="J10" s="653" t="s">
        <v>257</v>
      </c>
      <c r="K10" s="653" t="s">
        <v>251</v>
      </c>
      <c r="L10" s="653" t="s">
        <v>983</v>
      </c>
      <c r="M10" s="653" t="s">
        <v>984</v>
      </c>
      <c r="N10" s="653" t="s">
        <v>637</v>
      </c>
      <c r="O10" s="653"/>
    </row>
    <row r="11" spans="1:18" x14ac:dyDescent="0.45">
      <c r="A11" s="653"/>
      <c r="B11" s="653"/>
      <c r="C11" s="653">
        <v>2</v>
      </c>
      <c r="D11" s="653">
        <v>3</v>
      </c>
      <c r="E11" s="653">
        <v>4</v>
      </c>
      <c r="F11" s="653">
        <v>5</v>
      </c>
      <c r="G11" s="653">
        <v>6</v>
      </c>
      <c r="H11" s="653">
        <v>7</v>
      </c>
      <c r="I11" s="653">
        <v>8</v>
      </c>
      <c r="J11" s="653">
        <v>9</v>
      </c>
      <c r="K11" s="653">
        <v>10</v>
      </c>
      <c r="L11" s="653">
        <v>11</v>
      </c>
      <c r="M11" s="653">
        <v>12</v>
      </c>
      <c r="N11" s="653">
        <v>13</v>
      </c>
      <c r="O11" s="653"/>
    </row>
    <row r="12" spans="1:18" x14ac:dyDescent="0.45">
      <c r="A12" s="653"/>
      <c r="B12" s="653" t="s">
        <v>179</v>
      </c>
      <c r="C12" s="653">
        <v>68</v>
      </c>
      <c r="D12" s="653">
        <v>1</v>
      </c>
      <c r="E12" s="649">
        <v>7.0000000000000009</v>
      </c>
      <c r="F12" s="649">
        <v>4</v>
      </c>
      <c r="G12" s="653">
        <v>20</v>
      </c>
      <c r="H12" s="653">
        <v>50.000000000000007</v>
      </c>
      <c r="I12" s="653">
        <v>30</v>
      </c>
      <c r="J12" s="653">
        <v>15</v>
      </c>
      <c r="K12" s="653">
        <v>3.0000000000000004</v>
      </c>
      <c r="L12" s="649">
        <v>0.1</v>
      </c>
      <c r="M12" s="653">
        <v>0</v>
      </c>
      <c r="N12" s="654">
        <v>43</v>
      </c>
      <c r="O12" s="664"/>
    </row>
    <row r="13" spans="1:18" x14ac:dyDescent="0.45">
      <c r="A13" s="653"/>
      <c r="B13" s="653" t="s">
        <v>988</v>
      </c>
      <c r="C13" s="653">
        <v>80</v>
      </c>
      <c r="D13" s="653">
        <v>2.6</v>
      </c>
      <c r="E13" s="649">
        <v>8.4</v>
      </c>
      <c r="F13" s="649">
        <v>3.9</v>
      </c>
      <c r="G13" s="653">
        <v>70</v>
      </c>
      <c r="H13" s="653">
        <v>80</v>
      </c>
      <c r="I13" s="653">
        <v>100</v>
      </c>
      <c r="J13" s="653">
        <v>56</v>
      </c>
      <c r="K13" s="653">
        <v>8</v>
      </c>
      <c r="L13" s="646">
        <v>1.6</v>
      </c>
      <c r="M13" s="654">
        <v>3</v>
      </c>
      <c r="N13" s="654">
        <v>85</v>
      </c>
      <c r="O13" s="664"/>
      <c r="R13" s="653"/>
    </row>
    <row r="14" spans="1:18" x14ac:dyDescent="0.45">
      <c r="A14" s="653"/>
      <c r="B14" s="653" t="s">
        <v>989</v>
      </c>
      <c r="C14" s="653">
        <v>75</v>
      </c>
      <c r="D14" s="653">
        <v>2</v>
      </c>
      <c r="E14" s="649">
        <v>7.5</v>
      </c>
      <c r="F14" s="649">
        <v>4</v>
      </c>
      <c r="G14" s="653">
        <v>28</v>
      </c>
      <c r="H14" s="653">
        <v>77</v>
      </c>
      <c r="I14" s="653">
        <v>87</v>
      </c>
      <c r="J14" s="653">
        <v>47</v>
      </c>
      <c r="K14" s="653">
        <v>7</v>
      </c>
      <c r="L14" s="646">
        <v>1.2</v>
      </c>
      <c r="M14" s="654">
        <v>1.7</v>
      </c>
      <c r="N14" s="654">
        <v>55</v>
      </c>
      <c r="O14" s="664"/>
      <c r="R14" s="654"/>
    </row>
    <row r="15" spans="1:18" x14ac:dyDescent="0.45">
      <c r="A15" s="653"/>
      <c r="B15" s="653" t="s">
        <v>990</v>
      </c>
      <c r="C15" s="666">
        <v>66</v>
      </c>
      <c r="D15" s="666">
        <v>1.5</v>
      </c>
      <c r="E15" s="667">
        <v>7.2</v>
      </c>
      <c r="F15" s="667">
        <v>3.4</v>
      </c>
      <c r="G15" s="666">
        <v>25</v>
      </c>
      <c r="H15" s="666">
        <v>73</v>
      </c>
      <c r="I15" s="666">
        <v>46</v>
      </c>
      <c r="J15" s="666">
        <v>26</v>
      </c>
      <c r="K15" s="666">
        <v>5.0999999999999996</v>
      </c>
      <c r="L15" s="650">
        <v>0.53</v>
      </c>
      <c r="M15" s="666">
        <v>1.2</v>
      </c>
      <c r="N15" s="654">
        <v>41</v>
      </c>
      <c r="O15" s="668"/>
      <c r="R15" s="654"/>
    </row>
    <row r="16" spans="1:18" x14ac:dyDescent="0.45">
      <c r="A16" s="653"/>
      <c r="B16" s="653" t="s">
        <v>642</v>
      </c>
      <c r="C16" s="653">
        <v>66</v>
      </c>
      <c r="D16" s="653">
        <v>1.3</v>
      </c>
      <c r="E16" s="649">
        <v>7.3</v>
      </c>
      <c r="F16" s="649">
        <v>3.4</v>
      </c>
      <c r="G16" s="653">
        <v>17</v>
      </c>
      <c r="H16" s="653">
        <v>68</v>
      </c>
      <c r="I16" s="653">
        <v>57</v>
      </c>
      <c r="J16" s="653">
        <v>32</v>
      </c>
      <c r="K16" s="653">
        <v>5.0999999999999996</v>
      </c>
      <c r="L16" s="649">
        <v>3.9</v>
      </c>
      <c r="M16" s="653">
        <v>8.6999999999999993</v>
      </c>
      <c r="N16" s="654">
        <v>42</v>
      </c>
      <c r="O16" s="664"/>
      <c r="R16" s="654"/>
    </row>
    <row r="17" spans="1:18" x14ac:dyDescent="0.45">
      <c r="A17" s="647"/>
      <c r="B17" s="653" t="s">
        <v>1053</v>
      </c>
      <c r="C17" s="653">
        <v>68</v>
      </c>
      <c r="D17" s="653">
        <v>1.4</v>
      </c>
      <c r="E17" s="649">
        <v>8.6</v>
      </c>
      <c r="F17" s="649">
        <v>3</v>
      </c>
      <c r="G17" s="653">
        <v>23</v>
      </c>
      <c r="H17" s="653">
        <v>74</v>
      </c>
      <c r="I17" s="653">
        <v>65</v>
      </c>
      <c r="J17" s="653">
        <v>36</v>
      </c>
      <c r="K17" s="653">
        <v>4.8</v>
      </c>
      <c r="L17" s="649">
        <v>7</v>
      </c>
      <c r="M17" s="653">
        <v>1.4</v>
      </c>
      <c r="N17" s="654">
        <v>47</v>
      </c>
      <c r="O17" s="664"/>
      <c r="R17" s="654"/>
    </row>
    <row r="18" spans="1:18" x14ac:dyDescent="0.45">
      <c r="A18" s="653"/>
      <c r="B18" s="653" t="s">
        <v>17</v>
      </c>
      <c r="C18" s="653">
        <v>100</v>
      </c>
      <c r="D18" s="653">
        <v>2.6</v>
      </c>
      <c r="E18" s="649">
        <v>10.3</v>
      </c>
      <c r="F18" s="649">
        <v>5.4</v>
      </c>
      <c r="G18" s="653">
        <v>37</v>
      </c>
      <c r="H18" s="653">
        <v>95</v>
      </c>
      <c r="I18" s="653">
        <v>100</v>
      </c>
      <c r="J18" s="653">
        <v>50</v>
      </c>
      <c r="K18" s="653">
        <v>9</v>
      </c>
      <c r="L18" s="649">
        <v>1.2</v>
      </c>
      <c r="M18" s="653">
        <v>1.9</v>
      </c>
      <c r="N18" s="654">
        <v>62</v>
      </c>
      <c r="O18" s="664"/>
      <c r="R18" s="654"/>
    </row>
    <row r="19" spans="1:18" x14ac:dyDescent="0.45">
      <c r="A19" s="653"/>
      <c r="B19" s="653" t="s">
        <v>1079</v>
      </c>
      <c r="C19" s="653">
        <v>100</v>
      </c>
      <c r="D19" s="653">
        <v>2.6</v>
      </c>
      <c r="E19" s="649">
        <v>10.3</v>
      </c>
      <c r="F19" s="649">
        <v>5.4</v>
      </c>
      <c r="G19" s="653">
        <v>32</v>
      </c>
      <c r="H19" s="653">
        <v>108</v>
      </c>
      <c r="I19" s="653">
        <v>80</v>
      </c>
      <c r="J19" s="653">
        <v>40</v>
      </c>
      <c r="K19" s="653">
        <v>8</v>
      </c>
      <c r="L19" s="649">
        <v>1</v>
      </c>
      <c r="M19" s="653">
        <v>1.7</v>
      </c>
      <c r="N19" s="654">
        <v>64</v>
      </c>
      <c r="O19" s="664"/>
      <c r="R19" s="654"/>
    </row>
    <row r="20" spans="1:18" x14ac:dyDescent="0.45">
      <c r="A20" s="653"/>
      <c r="B20" s="653" t="s">
        <v>1070</v>
      </c>
      <c r="C20" s="653">
        <v>67</v>
      </c>
      <c r="D20" s="653">
        <v>1.6</v>
      </c>
      <c r="E20" s="649">
        <v>7</v>
      </c>
      <c r="F20" s="649">
        <v>3.5</v>
      </c>
      <c r="G20" s="653">
        <v>20</v>
      </c>
      <c r="H20" s="653">
        <v>81</v>
      </c>
      <c r="I20" s="653">
        <v>47</v>
      </c>
      <c r="J20" s="653">
        <v>26</v>
      </c>
      <c r="K20" s="653">
        <v>5.3</v>
      </c>
      <c r="L20" s="650">
        <v>0.53</v>
      </c>
      <c r="M20" s="653">
        <v>1.3</v>
      </c>
      <c r="N20" s="654">
        <v>40</v>
      </c>
      <c r="O20" s="664"/>
      <c r="R20" s="653"/>
    </row>
    <row r="21" spans="1:18" x14ac:dyDescent="0.45">
      <c r="A21" s="653"/>
      <c r="B21" s="653" t="s">
        <v>530</v>
      </c>
      <c r="C21" s="653">
        <v>101</v>
      </c>
      <c r="D21" s="653">
        <v>2.7</v>
      </c>
      <c r="E21" s="649">
        <v>12.3</v>
      </c>
      <c r="F21" s="649">
        <v>4.4000000000000004</v>
      </c>
      <c r="G21" s="653">
        <v>60</v>
      </c>
      <c r="H21" s="653">
        <v>110</v>
      </c>
      <c r="I21" s="653">
        <v>60</v>
      </c>
      <c r="J21" s="653">
        <v>50</v>
      </c>
      <c r="K21" s="653">
        <v>11</v>
      </c>
      <c r="L21" s="669">
        <v>1</v>
      </c>
      <c r="M21" s="653">
        <v>1</v>
      </c>
      <c r="N21" s="654">
        <v>95</v>
      </c>
      <c r="O21" s="664"/>
      <c r="R21" s="653"/>
    </row>
    <row r="22" spans="1:18" x14ac:dyDescent="0.45">
      <c r="A22" s="653"/>
      <c r="B22" s="653" t="s">
        <v>531</v>
      </c>
      <c r="C22" s="653">
        <v>151</v>
      </c>
      <c r="D22" s="653">
        <v>4</v>
      </c>
      <c r="E22" s="649">
        <v>18.5</v>
      </c>
      <c r="F22" s="649">
        <v>6.7</v>
      </c>
      <c r="G22" s="653">
        <v>90</v>
      </c>
      <c r="H22" s="653">
        <v>165</v>
      </c>
      <c r="I22" s="653">
        <v>90</v>
      </c>
      <c r="J22" s="653">
        <v>75</v>
      </c>
      <c r="K22" s="653">
        <v>17</v>
      </c>
      <c r="L22" s="649">
        <v>1.5</v>
      </c>
      <c r="M22" s="653">
        <v>1.5</v>
      </c>
      <c r="N22" s="654">
        <v>143</v>
      </c>
      <c r="O22" s="664"/>
    </row>
    <row r="23" spans="1:18" x14ac:dyDescent="0.45">
      <c r="A23" s="653"/>
      <c r="B23" s="653" t="s">
        <v>1080</v>
      </c>
      <c r="C23" s="653">
        <v>100</v>
      </c>
      <c r="D23" s="653">
        <v>2.8</v>
      </c>
      <c r="E23" s="649">
        <v>13.7</v>
      </c>
      <c r="F23" s="649">
        <v>3.9</v>
      </c>
      <c r="G23" s="653">
        <v>60</v>
      </c>
      <c r="H23" s="653">
        <v>110</v>
      </c>
      <c r="I23" s="653">
        <v>60</v>
      </c>
      <c r="J23" s="653">
        <v>50</v>
      </c>
      <c r="K23" s="653">
        <v>11</v>
      </c>
      <c r="L23" s="669">
        <v>1</v>
      </c>
      <c r="M23" s="669">
        <v>1</v>
      </c>
      <c r="N23" s="654">
        <v>95</v>
      </c>
      <c r="O23" s="670"/>
    </row>
    <row r="24" spans="1:18" x14ac:dyDescent="0.45">
      <c r="A24" s="653"/>
      <c r="B24" s="653" t="s">
        <v>1117</v>
      </c>
      <c r="C24" s="653">
        <v>68</v>
      </c>
      <c r="D24" s="653">
        <v>1.6</v>
      </c>
      <c r="E24" s="649">
        <v>8.1</v>
      </c>
      <c r="F24" s="649">
        <v>3.1</v>
      </c>
      <c r="G24" s="653">
        <v>25</v>
      </c>
      <c r="H24" s="653">
        <v>78</v>
      </c>
      <c r="I24" s="653">
        <v>63</v>
      </c>
      <c r="J24" s="653">
        <v>37</v>
      </c>
      <c r="K24" s="653">
        <v>5.5</v>
      </c>
      <c r="L24" s="649">
        <v>1</v>
      </c>
      <c r="M24" s="653">
        <v>1.4</v>
      </c>
      <c r="N24" s="654">
        <v>42</v>
      </c>
      <c r="O24" s="664"/>
    </row>
    <row r="25" spans="1:18" x14ac:dyDescent="0.45">
      <c r="A25" s="653"/>
      <c r="B25" s="653" t="s">
        <v>533</v>
      </c>
      <c r="C25" s="653">
        <v>102</v>
      </c>
      <c r="D25" s="653">
        <v>3.3</v>
      </c>
      <c r="E25" s="649">
        <v>12.3</v>
      </c>
      <c r="F25" s="649">
        <v>4.2</v>
      </c>
      <c r="G25" s="653">
        <v>80</v>
      </c>
      <c r="H25" s="653">
        <v>138</v>
      </c>
      <c r="I25" s="653">
        <v>70</v>
      </c>
      <c r="J25" s="653">
        <v>60</v>
      </c>
      <c r="K25" s="653">
        <v>17</v>
      </c>
      <c r="L25" s="649">
        <v>1.3</v>
      </c>
      <c r="M25" s="653">
        <v>0.7</v>
      </c>
      <c r="N25" s="654">
        <v>125</v>
      </c>
      <c r="O25" s="664"/>
    </row>
    <row r="26" spans="1:18" x14ac:dyDescent="0.45">
      <c r="A26" s="653"/>
      <c r="B26" s="653" t="s">
        <v>534</v>
      </c>
      <c r="C26" s="653">
        <v>152</v>
      </c>
      <c r="D26" s="653">
        <v>4.8</v>
      </c>
      <c r="E26" s="649">
        <v>18.5</v>
      </c>
      <c r="F26" s="649">
        <v>6.3</v>
      </c>
      <c r="G26" s="653">
        <v>107</v>
      </c>
      <c r="H26" s="653">
        <v>186</v>
      </c>
      <c r="I26" s="653">
        <v>95</v>
      </c>
      <c r="J26" s="653">
        <v>90</v>
      </c>
      <c r="K26" s="653">
        <v>26</v>
      </c>
      <c r="L26" s="649">
        <v>2</v>
      </c>
      <c r="M26" s="653">
        <v>1.1000000000000001</v>
      </c>
      <c r="N26" s="654">
        <v>147</v>
      </c>
      <c r="O26" s="664"/>
    </row>
    <row r="27" spans="1:18" x14ac:dyDescent="0.45">
      <c r="A27" s="653"/>
      <c r="B27" s="653" t="s">
        <v>536</v>
      </c>
      <c r="C27" s="653">
        <v>103</v>
      </c>
      <c r="D27" s="653">
        <v>4</v>
      </c>
      <c r="E27" s="649">
        <v>12.3</v>
      </c>
      <c r="F27" s="649">
        <v>3.9</v>
      </c>
      <c r="G27" s="653">
        <v>100</v>
      </c>
      <c r="H27" s="653">
        <v>150</v>
      </c>
      <c r="I27" s="653">
        <v>80</v>
      </c>
      <c r="J27" s="653">
        <v>72</v>
      </c>
      <c r="K27" s="653">
        <v>23</v>
      </c>
      <c r="L27" s="667">
        <v>1.6</v>
      </c>
      <c r="M27" s="666">
        <v>1</v>
      </c>
      <c r="N27" s="654">
        <v>125</v>
      </c>
      <c r="O27" s="668"/>
    </row>
    <row r="28" spans="1:18" x14ac:dyDescent="0.45">
      <c r="A28" s="653"/>
      <c r="B28" s="653" t="s">
        <v>537</v>
      </c>
      <c r="C28" s="653">
        <v>153</v>
      </c>
      <c r="D28" s="653">
        <v>6</v>
      </c>
      <c r="E28" s="649">
        <v>18.399999999999999</v>
      </c>
      <c r="F28" s="649">
        <v>5.8</v>
      </c>
      <c r="G28" s="653">
        <v>134</v>
      </c>
      <c r="H28" s="653">
        <v>201</v>
      </c>
      <c r="I28" s="653">
        <v>84</v>
      </c>
      <c r="J28" s="653">
        <v>84</v>
      </c>
      <c r="K28" s="653">
        <v>30</v>
      </c>
      <c r="L28" s="667">
        <v>2.4</v>
      </c>
      <c r="M28" s="666">
        <v>1.5</v>
      </c>
      <c r="N28" s="654">
        <v>100</v>
      </c>
      <c r="O28" s="668"/>
    </row>
    <row r="29" spans="1:18" x14ac:dyDescent="0.45">
      <c r="A29" s="653"/>
      <c r="B29" s="653" t="s">
        <v>1081</v>
      </c>
      <c r="C29" s="653">
        <v>100</v>
      </c>
      <c r="D29" s="653">
        <v>4</v>
      </c>
      <c r="E29" s="649">
        <v>17.600000000000001</v>
      </c>
      <c r="F29" s="649">
        <v>1.7</v>
      </c>
      <c r="G29" s="653">
        <v>100</v>
      </c>
      <c r="H29" s="653">
        <v>150</v>
      </c>
      <c r="I29" s="653">
        <v>80</v>
      </c>
      <c r="J29" s="653">
        <v>72</v>
      </c>
      <c r="K29" s="653">
        <v>23</v>
      </c>
      <c r="L29" s="667">
        <v>1.6</v>
      </c>
      <c r="M29" s="666">
        <v>0.7</v>
      </c>
      <c r="N29" s="654">
        <v>125</v>
      </c>
      <c r="O29" s="668"/>
      <c r="R29" s="665"/>
    </row>
    <row r="30" spans="1:18" x14ac:dyDescent="0.45">
      <c r="A30" s="653"/>
      <c r="B30" s="653" t="s">
        <v>991</v>
      </c>
      <c r="C30" s="653">
        <v>67</v>
      </c>
      <c r="D30" s="653">
        <v>1.8</v>
      </c>
      <c r="E30" s="649">
        <v>7.2</v>
      </c>
      <c r="F30" s="649">
        <v>3.4</v>
      </c>
      <c r="G30" s="653">
        <v>26.1</v>
      </c>
      <c r="H30" s="653">
        <v>72.5</v>
      </c>
      <c r="I30" s="653">
        <v>65.599999999999994</v>
      </c>
      <c r="J30" s="653">
        <v>47.1</v>
      </c>
      <c r="K30" s="653">
        <v>7</v>
      </c>
      <c r="L30" s="667">
        <v>1</v>
      </c>
      <c r="M30" s="666">
        <v>1.2</v>
      </c>
      <c r="N30" s="654">
        <v>53.3</v>
      </c>
      <c r="O30" s="668"/>
      <c r="R30" s="653"/>
    </row>
    <row r="31" spans="1:18" x14ac:dyDescent="0.45">
      <c r="A31" s="653"/>
      <c r="B31" s="653" t="s">
        <v>992</v>
      </c>
      <c r="C31" s="653">
        <v>66</v>
      </c>
      <c r="D31" s="653">
        <v>1.8</v>
      </c>
      <c r="E31" s="649">
        <v>6.8</v>
      </c>
      <c r="F31" s="649">
        <v>3.5</v>
      </c>
      <c r="G31" s="653">
        <v>18</v>
      </c>
      <c r="H31" s="653">
        <v>65</v>
      </c>
      <c r="I31" s="653">
        <v>50</v>
      </c>
      <c r="J31" s="653">
        <v>28</v>
      </c>
      <c r="K31" s="653">
        <v>5.0999999999999996</v>
      </c>
      <c r="L31" s="667">
        <v>0.77</v>
      </c>
      <c r="M31" s="666">
        <v>1.3</v>
      </c>
      <c r="N31" s="654">
        <v>40</v>
      </c>
      <c r="O31" s="668"/>
      <c r="R31" s="653"/>
    </row>
    <row r="32" spans="1:18" x14ac:dyDescent="0.45">
      <c r="B32" s="662" t="s">
        <v>1054</v>
      </c>
      <c r="C32" s="653">
        <v>68</v>
      </c>
      <c r="D32" s="653">
        <v>1</v>
      </c>
      <c r="E32" s="649">
        <v>7.0000000000000009</v>
      </c>
      <c r="F32" s="649">
        <v>4</v>
      </c>
      <c r="G32" s="653">
        <v>20</v>
      </c>
      <c r="H32" s="653">
        <v>50.000000000000007</v>
      </c>
      <c r="I32" s="653">
        <v>30</v>
      </c>
      <c r="J32" s="653">
        <v>15</v>
      </c>
      <c r="K32" s="653">
        <v>3.0000000000000004</v>
      </c>
      <c r="L32" s="649">
        <v>0.1</v>
      </c>
      <c r="M32" s="653">
        <v>0</v>
      </c>
      <c r="N32" s="654">
        <v>43</v>
      </c>
      <c r="O32" s="664"/>
      <c r="R32" s="653"/>
    </row>
    <row r="33" spans="1:18" x14ac:dyDescent="0.45">
      <c r="B33" s="662" t="s">
        <v>1055</v>
      </c>
      <c r="C33" s="653">
        <v>68</v>
      </c>
      <c r="D33" s="653">
        <v>1</v>
      </c>
      <c r="E33" s="649">
        <v>7.0000000000000009</v>
      </c>
      <c r="F33" s="649">
        <v>4</v>
      </c>
      <c r="G33" s="653">
        <v>20</v>
      </c>
      <c r="H33" s="653">
        <v>50.000000000000007</v>
      </c>
      <c r="I33" s="653">
        <v>30</v>
      </c>
      <c r="J33" s="653">
        <v>15</v>
      </c>
      <c r="K33" s="653">
        <v>3.0000000000000004</v>
      </c>
      <c r="L33" s="649">
        <v>0.1</v>
      </c>
      <c r="M33" s="653">
        <v>0</v>
      </c>
      <c r="N33" s="654">
        <v>43</v>
      </c>
      <c r="O33" s="664"/>
      <c r="R33" s="653"/>
    </row>
    <row r="34" spans="1:18" x14ac:dyDescent="0.45">
      <c r="B34" s="662" t="s">
        <v>1056</v>
      </c>
      <c r="C34" s="653">
        <v>68</v>
      </c>
      <c r="D34" s="653">
        <v>1</v>
      </c>
      <c r="E34" s="649">
        <v>7.0000000000000009</v>
      </c>
      <c r="F34" s="649">
        <v>4</v>
      </c>
      <c r="G34" s="653">
        <v>20</v>
      </c>
      <c r="H34" s="653">
        <v>50.000000000000007</v>
      </c>
      <c r="I34" s="653">
        <v>30</v>
      </c>
      <c r="J34" s="653">
        <v>15</v>
      </c>
      <c r="K34" s="653">
        <v>3.0000000000000004</v>
      </c>
      <c r="L34" s="649">
        <v>0.1</v>
      </c>
      <c r="M34" s="653">
        <v>0</v>
      </c>
      <c r="N34" s="654">
        <v>43</v>
      </c>
      <c r="O34" s="664"/>
      <c r="R34" s="653"/>
    </row>
    <row r="35" spans="1:18" x14ac:dyDescent="0.45">
      <c r="B35" s="662" t="s">
        <v>1057</v>
      </c>
      <c r="C35" s="653">
        <v>68</v>
      </c>
      <c r="D35" s="653">
        <v>1</v>
      </c>
      <c r="E35" s="649">
        <v>7.0000000000000009</v>
      </c>
      <c r="F35" s="649">
        <v>4</v>
      </c>
      <c r="G35" s="653">
        <v>20</v>
      </c>
      <c r="H35" s="653">
        <v>50.000000000000007</v>
      </c>
      <c r="I35" s="653">
        <v>30</v>
      </c>
      <c r="J35" s="653">
        <v>15</v>
      </c>
      <c r="K35" s="653">
        <v>3.0000000000000004</v>
      </c>
      <c r="L35" s="649">
        <v>0.1</v>
      </c>
      <c r="M35" s="653">
        <v>0</v>
      </c>
      <c r="N35" s="654">
        <v>43</v>
      </c>
      <c r="O35" s="664"/>
      <c r="R35" s="653"/>
    </row>
    <row r="36" spans="1:18" x14ac:dyDescent="0.45">
      <c r="B36" s="662" t="s">
        <v>1058</v>
      </c>
      <c r="C36" s="653">
        <v>68</v>
      </c>
      <c r="D36" s="653">
        <v>1</v>
      </c>
      <c r="E36" s="649">
        <v>7.0000000000000009</v>
      </c>
      <c r="F36" s="649">
        <v>4</v>
      </c>
      <c r="G36" s="653">
        <v>20</v>
      </c>
      <c r="H36" s="653">
        <v>50.000000000000007</v>
      </c>
      <c r="I36" s="653">
        <v>30</v>
      </c>
      <c r="J36" s="653">
        <v>15</v>
      </c>
      <c r="K36" s="653">
        <v>3.0000000000000004</v>
      </c>
      <c r="L36" s="649">
        <v>0.1</v>
      </c>
      <c r="M36" s="653">
        <v>0</v>
      </c>
      <c r="N36" s="654">
        <v>43</v>
      </c>
      <c r="O36" s="664"/>
      <c r="R36" s="653"/>
    </row>
    <row r="37" spans="1:18" x14ac:dyDescent="0.45">
      <c r="B37" s="662" t="s">
        <v>1059</v>
      </c>
      <c r="C37" s="653">
        <v>68</v>
      </c>
      <c r="D37" s="653">
        <v>1</v>
      </c>
      <c r="E37" s="649">
        <v>7.0000000000000009</v>
      </c>
      <c r="F37" s="649">
        <v>4</v>
      </c>
      <c r="G37" s="653">
        <v>20</v>
      </c>
      <c r="H37" s="653">
        <v>50.000000000000007</v>
      </c>
      <c r="I37" s="653">
        <v>30</v>
      </c>
      <c r="J37" s="653">
        <v>15</v>
      </c>
      <c r="K37" s="653">
        <v>3.0000000000000004</v>
      </c>
      <c r="L37" s="649">
        <v>0.1</v>
      </c>
      <c r="M37" s="653">
        <v>0</v>
      </c>
      <c r="N37" s="654">
        <v>43</v>
      </c>
      <c r="O37" s="664"/>
      <c r="R37" s="653"/>
    </row>
    <row r="38" spans="1:18" x14ac:dyDescent="0.45">
      <c r="B38" s="662" t="s">
        <v>1067</v>
      </c>
      <c r="C38" s="672">
        <v>66.3</v>
      </c>
      <c r="D38" s="672">
        <v>1.5</v>
      </c>
      <c r="E38" s="672">
        <v>7</v>
      </c>
      <c r="F38" s="672">
        <v>3.6</v>
      </c>
      <c r="G38" s="672">
        <v>20.3</v>
      </c>
      <c r="H38" s="672">
        <v>67</v>
      </c>
      <c r="I38" s="672">
        <v>53.3</v>
      </c>
      <c r="J38" s="672">
        <v>29.2</v>
      </c>
      <c r="K38" s="672">
        <v>0.08</v>
      </c>
      <c r="L38" s="672">
        <v>0.51</v>
      </c>
      <c r="M38" s="672">
        <v>1.9</v>
      </c>
      <c r="N38" s="654">
        <v>40</v>
      </c>
      <c r="O38" s="673"/>
      <c r="R38" s="653"/>
    </row>
    <row r="39" spans="1:18" x14ac:dyDescent="0.45">
      <c r="B39" s="654" t="s">
        <v>993</v>
      </c>
      <c r="C39" s="672">
        <v>66</v>
      </c>
      <c r="D39" s="672">
        <v>1.4</v>
      </c>
      <c r="E39" s="672">
        <v>7.2</v>
      </c>
      <c r="F39" s="672">
        <v>3.5</v>
      </c>
      <c r="G39" s="672">
        <v>20</v>
      </c>
      <c r="H39" s="672">
        <v>65</v>
      </c>
      <c r="I39" s="672">
        <v>50</v>
      </c>
      <c r="J39" s="672">
        <v>30</v>
      </c>
      <c r="K39" s="672">
        <v>6</v>
      </c>
      <c r="L39" s="672">
        <v>0.78</v>
      </c>
      <c r="M39" s="672">
        <v>1.2</v>
      </c>
      <c r="N39" s="672">
        <v>42</v>
      </c>
      <c r="O39" s="672"/>
      <c r="R39" s="653"/>
    </row>
    <row r="40" spans="1:18" x14ac:dyDescent="0.45">
      <c r="B40" s="654" t="s">
        <v>994</v>
      </c>
      <c r="C40" s="672">
        <v>70</v>
      </c>
      <c r="D40" s="672">
        <v>1.6</v>
      </c>
      <c r="E40" s="672">
        <v>9.1999999999999993</v>
      </c>
      <c r="F40" s="672">
        <v>2.9</v>
      </c>
      <c r="G40" s="672">
        <v>24</v>
      </c>
      <c r="H40" s="672">
        <v>83</v>
      </c>
      <c r="I40" s="672">
        <v>72</v>
      </c>
      <c r="J40" s="672">
        <v>53</v>
      </c>
      <c r="K40" s="672">
        <v>7.8</v>
      </c>
      <c r="L40" s="672">
        <v>1.1000000000000001</v>
      </c>
      <c r="M40" s="672">
        <v>1.3</v>
      </c>
      <c r="N40" s="672">
        <v>45</v>
      </c>
      <c r="O40" s="672"/>
      <c r="R40" s="653"/>
    </row>
    <row r="41" spans="1:18" x14ac:dyDescent="0.45">
      <c r="B41" s="654" t="s">
        <v>995</v>
      </c>
      <c r="C41" s="672">
        <v>65</v>
      </c>
      <c r="D41" s="672">
        <v>1.4</v>
      </c>
      <c r="E41" s="672">
        <v>6.8</v>
      </c>
      <c r="F41" s="672">
        <v>3.5</v>
      </c>
      <c r="G41" s="672">
        <v>16</v>
      </c>
      <c r="H41" s="672">
        <v>60.1</v>
      </c>
      <c r="I41" s="672">
        <v>43.9</v>
      </c>
      <c r="J41" s="672">
        <v>26</v>
      </c>
      <c r="K41" s="672">
        <v>4</v>
      </c>
      <c r="L41" s="672">
        <v>0.4</v>
      </c>
      <c r="M41" s="672">
        <v>1.2</v>
      </c>
      <c r="N41" s="672">
        <v>40</v>
      </c>
      <c r="O41" s="672"/>
      <c r="R41" s="653"/>
    </row>
    <row r="42" spans="1:18" x14ac:dyDescent="0.45">
      <c r="B42" s="654" t="s">
        <v>996</v>
      </c>
      <c r="C42" s="672">
        <v>62</v>
      </c>
      <c r="D42" s="672">
        <v>1.3</v>
      </c>
      <c r="E42" s="672">
        <v>6.4</v>
      </c>
      <c r="F42" s="672">
        <v>3.3</v>
      </c>
      <c r="G42" s="672">
        <v>15</v>
      </c>
      <c r="H42" s="672">
        <v>56.8</v>
      </c>
      <c r="I42" s="672">
        <v>41.6</v>
      </c>
      <c r="J42" s="672">
        <v>25</v>
      </c>
      <c r="K42" s="672">
        <v>3.79</v>
      </c>
      <c r="L42" s="672">
        <v>1</v>
      </c>
      <c r="M42" s="672">
        <v>1.1000000000000001</v>
      </c>
      <c r="N42" s="672">
        <v>37.9</v>
      </c>
      <c r="O42" s="672"/>
      <c r="R42" s="653"/>
    </row>
    <row r="43" spans="1:18" x14ac:dyDescent="0.45">
      <c r="A43" s="653"/>
      <c r="B43" s="654" t="s">
        <v>1068</v>
      </c>
      <c r="C43" s="672">
        <v>66</v>
      </c>
      <c r="D43" s="672">
        <v>2</v>
      </c>
      <c r="E43" s="672">
        <v>6.6</v>
      </c>
      <c r="F43" s="672">
        <v>3.5</v>
      </c>
      <c r="G43" s="672">
        <v>22</v>
      </c>
      <c r="H43" s="672">
        <v>69.3</v>
      </c>
      <c r="I43" s="672">
        <v>66.3</v>
      </c>
      <c r="J43" s="672">
        <v>39</v>
      </c>
      <c r="K43" s="672">
        <v>6.58</v>
      </c>
      <c r="L43" s="672">
        <v>0.87</v>
      </c>
      <c r="M43" s="672">
        <v>1.3</v>
      </c>
      <c r="N43" s="672">
        <v>45.2</v>
      </c>
      <c r="O43" s="672"/>
      <c r="R43" s="653"/>
    </row>
    <row r="44" spans="1:18" x14ac:dyDescent="0.45">
      <c r="B44" s="654" t="s">
        <v>1069</v>
      </c>
      <c r="C44" s="672">
        <v>79</v>
      </c>
      <c r="D44" s="672">
        <v>2.6</v>
      </c>
      <c r="E44" s="672">
        <v>8.3000000000000007</v>
      </c>
      <c r="F44" s="672">
        <v>4</v>
      </c>
      <c r="G44" s="672">
        <v>51</v>
      </c>
      <c r="H44" s="672">
        <v>88</v>
      </c>
      <c r="I44" s="672">
        <v>96</v>
      </c>
      <c r="J44" s="672">
        <v>54.4</v>
      </c>
      <c r="K44" s="672">
        <v>8.9</v>
      </c>
      <c r="L44" s="672">
        <v>1.8</v>
      </c>
      <c r="M44" s="672">
        <v>1.9</v>
      </c>
      <c r="N44" s="672">
        <v>76.8</v>
      </c>
      <c r="O44" s="672"/>
      <c r="R44" s="653"/>
    </row>
    <row r="45" spans="1:18" x14ac:dyDescent="0.45">
      <c r="B45" s="654"/>
      <c r="C45" s="672"/>
      <c r="D45" s="672"/>
      <c r="E45" s="672"/>
      <c r="F45" s="672"/>
      <c r="G45" s="672"/>
      <c r="H45" s="672"/>
      <c r="I45" s="672"/>
      <c r="J45" s="672"/>
      <c r="K45" s="672"/>
      <c r="L45" s="672"/>
      <c r="M45" s="672"/>
      <c r="N45" s="672"/>
      <c r="O45" s="672"/>
      <c r="R45" s="653"/>
    </row>
    <row r="46" spans="1:18" x14ac:dyDescent="0.45">
      <c r="B46" s="654"/>
      <c r="C46" s="672"/>
      <c r="D46" s="672"/>
      <c r="E46" s="672"/>
      <c r="F46" s="672"/>
      <c r="G46" s="672"/>
      <c r="H46" s="672"/>
      <c r="I46" s="672"/>
      <c r="J46" s="672"/>
      <c r="K46" s="672"/>
      <c r="L46" s="672"/>
      <c r="M46" s="672"/>
      <c r="N46" s="672"/>
      <c r="O46" s="672"/>
    </row>
    <row r="47" spans="1:18" x14ac:dyDescent="0.45">
      <c r="B47" s="654"/>
      <c r="C47" s="672"/>
      <c r="D47" s="672"/>
      <c r="E47" s="672"/>
      <c r="F47" s="672"/>
      <c r="G47" s="672"/>
      <c r="H47" s="672"/>
      <c r="I47" s="672"/>
      <c r="J47" s="672"/>
      <c r="K47" s="672"/>
      <c r="L47" s="672"/>
      <c r="M47" s="672"/>
      <c r="N47" s="672"/>
      <c r="O47" s="672"/>
    </row>
    <row r="48" spans="1:18" x14ac:dyDescent="0.45">
      <c r="A48" s="663" t="s">
        <v>1082</v>
      </c>
      <c r="B48" s="663" t="s">
        <v>1060</v>
      </c>
    </row>
    <row r="49" spans="1:15" x14ac:dyDescent="0.45">
      <c r="C49" s="663"/>
      <c r="D49" s="653" t="s">
        <v>31</v>
      </c>
      <c r="E49" s="653" t="s">
        <v>31</v>
      </c>
      <c r="F49" s="653" t="s">
        <v>31</v>
      </c>
      <c r="G49" s="653" t="s">
        <v>176</v>
      </c>
      <c r="H49" s="653" t="s">
        <v>176</v>
      </c>
      <c r="I49" s="653" t="s">
        <v>176</v>
      </c>
      <c r="J49" s="653" t="s">
        <v>176</v>
      </c>
      <c r="K49" s="653" t="s">
        <v>176</v>
      </c>
      <c r="L49" s="653" t="s">
        <v>176</v>
      </c>
      <c r="M49" s="653" t="s">
        <v>985</v>
      </c>
      <c r="N49" s="653" t="s">
        <v>176</v>
      </c>
    </row>
    <row r="50" spans="1:15" x14ac:dyDescent="0.45">
      <c r="A50" s="647" t="s">
        <v>1065</v>
      </c>
      <c r="B50" s="653"/>
      <c r="C50" s="653" t="s">
        <v>255</v>
      </c>
      <c r="D50" s="653" t="s">
        <v>246</v>
      </c>
      <c r="E50" s="653" t="s">
        <v>584</v>
      </c>
      <c r="F50" s="653" t="s">
        <v>585</v>
      </c>
      <c r="G50" s="653" t="s">
        <v>248</v>
      </c>
      <c r="H50" s="653" t="s">
        <v>249</v>
      </c>
      <c r="I50" s="653" t="s">
        <v>250</v>
      </c>
      <c r="J50" s="653" t="s">
        <v>583</v>
      </c>
      <c r="K50" s="653" t="s">
        <v>251</v>
      </c>
      <c r="L50" s="653" t="s">
        <v>983</v>
      </c>
      <c r="M50" s="653" t="s">
        <v>984</v>
      </c>
      <c r="N50" s="653" t="s">
        <v>637</v>
      </c>
    </row>
    <row r="51" spans="1:15" x14ac:dyDescent="0.45">
      <c r="A51" s="653" t="s">
        <v>1066</v>
      </c>
      <c r="B51" s="653"/>
      <c r="C51" s="653" t="s">
        <v>255</v>
      </c>
      <c r="D51" s="653" t="s">
        <v>212</v>
      </c>
      <c r="E51" s="653" t="s">
        <v>256</v>
      </c>
      <c r="F51" s="653" t="s">
        <v>213</v>
      </c>
      <c r="G51" s="653" t="s">
        <v>248</v>
      </c>
      <c r="H51" s="653" t="s">
        <v>249</v>
      </c>
      <c r="I51" s="653" t="s">
        <v>250</v>
      </c>
      <c r="J51" s="653" t="s">
        <v>257</v>
      </c>
      <c r="K51" s="653" t="s">
        <v>251</v>
      </c>
      <c r="L51" s="653" t="s">
        <v>983</v>
      </c>
      <c r="M51" s="653" t="s">
        <v>984</v>
      </c>
      <c r="N51" s="653" t="s">
        <v>637</v>
      </c>
    </row>
    <row r="52" spans="1:15" x14ac:dyDescent="0.45">
      <c r="A52" s="653"/>
      <c r="B52" s="653"/>
    </row>
    <row r="53" spans="1:15" x14ac:dyDescent="0.45">
      <c r="A53" s="653"/>
      <c r="B53" s="653" t="s">
        <v>649</v>
      </c>
      <c r="C53" s="653">
        <v>347</v>
      </c>
      <c r="D53" s="653">
        <v>25.2</v>
      </c>
      <c r="E53" s="649">
        <v>62.2</v>
      </c>
      <c r="F53" s="649">
        <v>0</v>
      </c>
      <c r="G53" s="653">
        <v>803</v>
      </c>
      <c r="H53" s="653">
        <v>528</v>
      </c>
      <c r="I53" s="653">
        <v>1491</v>
      </c>
      <c r="J53" s="653">
        <v>872</v>
      </c>
      <c r="K53" s="653">
        <v>115</v>
      </c>
      <c r="L53" s="646">
        <v>0</v>
      </c>
      <c r="M53" s="654">
        <v>115</v>
      </c>
      <c r="N53" s="654">
        <v>573</v>
      </c>
      <c r="O53" s="664"/>
    </row>
    <row r="54" spans="1:15" x14ac:dyDescent="0.45">
      <c r="A54" s="653"/>
      <c r="B54" s="654" t="s">
        <v>993</v>
      </c>
      <c r="C54" s="654">
        <v>509</v>
      </c>
      <c r="D54" s="654">
        <v>10</v>
      </c>
      <c r="E54" s="646">
        <v>56</v>
      </c>
      <c r="F54" s="646">
        <v>27</v>
      </c>
      <c r="G54" s="654">
        <v>120</v>
      </c>
      <c r="H54" s="654">
        <v>462</v>
      </c>
      <c r="I54" s="654">
        <v>338</v>
      </c>
      <c r="J54" s="654">
        <v>200</v>
      </c>
      <c r="K54" s="654">
        <v>30.8</v>
      </c>
      <c r="L54" s="674">
        <v>3.1</v>
      </c>
      <c r="M54" s="671">
        <v>9.1999999999999993</v>
      </c>
      <c r="N54" s="671">
        <v>308</v>
      </c>
      <c r="O54" s="668"/>
    </row>
    <row r="55" spans="1:15" x14ac:dyDescent="0.45">
      <c r="A55" s="653"/>
      <c r="B55" s="654" t="s">
        <v>994</v>
      </c>
      <c r="C55" s="654">
        <v>470</v>
      </c>
      <c r="D55" s="654">
        <v>9.5</v>
      </c>
      <c r="E55" s="646">
        <v>64</v>
      </c>
      <c r="F55" s="646">
        <v>19</v>
      </c>
      <c r="G55" s="654">
        <v>160</v>
      </c>
      <c r="H55" s="654">
        <v>554</v>
      </c>
      <c r="I55" s="654">
        <v>405</v>
      </c>
      <c r="J55" s="654">
        <v>243</v>
      </c>
      <c r="K55" s="654">
        <v>52</v>
      </c>
      <c r="L55" s="674">
        <v>8.1999999999999993</v>
      </c>
      <c r="M55" s="671">
        <v>8.6</v>
      </c>
      <c r="N55" s="671">
        <v>297</v>
      </c>
      <c r="O55" s="668"/>
    </row>
    <row r="56" spans="1:15" x14ac:dyDescent="0.45">
      <c r="B56" s="654" t="s">
        <v>995</v>
      </c>
      <c r="C56" s="654">
        <v>503</v>
      </c>
      <c r="D56" s="654">
        <v>11</v>
      </c>
      <c r="E56" s="646">
        <v>52</v>
      </c>
      <c r="F56" s="646">
        <v>27</v>
      </c>
      <c r="G56" s="654">
        <v>120</v>
      </c>
      <c r="H56" s="654">
        <v>462</v>
      </c>
      <c r="I56" s="654">
        <v>338</v>
      </c>
      <c r="J56" s="654">
        <v>200</v>
      </c>
      <c r="K56" s="648">
        <v>30.8</v>
      </c>
      <c r="L56" s="675">
        <v>3.1</v>
      </c>
      <c r="M56" s="676">
        <v>9.1999999999999993</v>
      </c>
      <c r="N56" s="676">
        <v>308</v>
      </c>
      <c r="O56" s="677"/>
    </row>
    <row r="57" spans="1:15" x14ac:dyDescent="0.45">
      <c r="B57" s="654" t="s">
        <v>996</v>
      </c>
      <c r="C57" s="654">
        <v>503</v>
      </c>
      <c r="D57" s="654">
        <v>11</v>
      </c>
      <c r="E57" s="646">
        <v>52</v>
      </c>
      <c r="F57" s="646">
        <v>27</v>
      </c>
      <c r="G57" s="654">
        <v>120</v>
      </c>
      <c r="H57" s="654">
        <v>462</v>
      </c>
      <c r="I57" s="654">
        <v>338</v>
      </c>
      <c r="J57" s="654">
        <v>200</v>
      </c>
      <c r="K57" s="648">
        <v>30.8</v>
      </c>
      <c r="L57" s="675">
        <v>8.5</v>
      </c>
      <c r="M57" s="676">
        <v>9.1999999999999993</v>
      </c>
      <c r="N57" s="676">
        <v>308</v>
      </c>
      <c r="O57" s="677"/>
    </row>
    <row r="58" spans="1:15" x14ac:dyDescent="0.45">
      <c r="B58" s="654" t="s">
        <v>997</v>
      </c>
      <c r="C58" s="654">
        <v>493</v>
      </c>
      <c r="D58" s="654">
        <v>13</v>
      </c>
      <c r="E58" s="646">
        <v>53</v>
      </c>
      <c r="F58" s="646">
        <v>26</v>
      </c>
      <c r="G58" s="654">
        <v>204</v>
      </c>
      <c r="H58" s="654">
        <v>550</v>
      </c>
      <c r="I58" s="654">
        <v>400</v>
      </c>
      <c r="J58" s="654">
        <v>230</v>
      </c>
      <c r="K58" s="654">
        <v>50</v>
      </c>
      <c r="L58" s="675">
        <v>3.5</v>
      </c>
      <c r="M58" s="676">
        <v>7.8</v>
      </c>
      <c r="N58" s="676">
        <v>315</v>
      </c>
      <c r="O58" s="677"/>
    </row>
    <row r="59" spans="1:15" x14ac:dyDescent="0.45">
      <c r="B59" s="654" t="s">
        <v>998</v>
      </c>
      <c r="C59" s="654">
        <v>493</v>
      </c>
      <c r="D59" s="654">
        <v>13</v>
      </c>
      <c r="E59" s="646">
        <v>53</v>
      </c>
      <c r="F59" s="646">
        <v>26</v>
      </c>
      <c r="G59" s="654">
        <v>204</v>
      </c>
      <c r="H59" s="654">
        <v>550</v>
      </c>
      <c r="I59" s="654">
        <v>400</v>
      </c>
      <c r="J59" s="654">
        <v>230</v>
      </c>
      <c r="K59" s="654">
        <v>50</v>
      </c>
      <c r="L59" s="675">
        <v>7.1</v>
      </c>
      <c r="M59" s="676">
        <v>7.8</v>
      </c>
      <c r="N59" s="676">
        <v>315</v>
      </c>
      <c r="O59" s="677"/>
    </row>
    <row r="60" spans="1:15" x14ac:dyDescent="0.45">
      <c r="B60" s="654" t="s">
        <v>999</v>
      </c>
      <c r="C60" s="653">
        <v>500</v>
      </c>
      <c r="D60" s="653">
        <v>14</v>
      </c>
      <c r="E60" s="649">
        <v>55</v>
      </c>
      <c r="F60" s="649">
        <v>25</v>
      </c>
      <c r="G60" s="653">
        <v>240</v>
      </c>
      <c r="H60" s="653">
        <v>610</v>
      </c>
      <c r="I60" s="653">
        <v>565</v>
      </c>
      <c r="J60" s="653">
        <v>390</v>
      </c>
      <c r="K60" s="653">
        <v>50</v>
      </c>
      <c r="L60" s="667">
        <v>9</v>
      </c>
      <c r="M60" s="666">
        <v>7.5</v>
      </c>
      <c r="N60" s="671">
        <v>480</v>
      </c>
      <c r="O60" s="678"/>
    </row>
    <row r="61" spans="1:15" x14ac:dyDescent="0.45">
      <c r="B61" s="654" t="s">
        <v>38</v>
      </c>
      <c r="C61" s="653">
        <v>466</v>
      </c>
      <c r="D61" s="653">
        <v>11.6</v>
      </c>
      <c r="E61" s="649">
        <v>59</v>
      </c>
      <c r="F61" s="649">
        <v>20</v>
      </c>
      <c r="G61" s="653">
        <v>172</v>
      </c>
      <c r="H61" s="653">
        <v>568</v>
      </c>
      <c r="I61" s="653">
        <v>638</v>
      </c>
      <c r="J61" s="653">
        <v>336</v>
      </c>
      <c r="K61" s="653">
        <v>47</v>
      </c>
      <c r="L61" s="667">
        <v>8.1999999999999993</v>
      </c>
      <c r="M61" s="666">
        <v>7.3</v>
      </c>
      <c r="N61" s="671">
        <v>373</v>
      </c>
      <c r="O61" s="678"/>
    </row>
    <row r="62" spans="1:15" x14ac:dyDescent="0.45">
      <c r="B62" s="654" t="s">
        <v>1000</v>
      </c>
      <c r="C62" s="653">
        <v>402</v>
      </c>
      <c r="D62" s="653">
        <v>14.7</v>
      </c>
      <c r="E62" s="649">
        <v>71</v>
      </c>
      <c r="F62" s="649">
        <v>6.7</v>
      </c>
      <c r="G62" s="653">
        <v>402</v>
      </c>
      <c r="H62" s="653">
        <v>603</v>
      </c>
      <c r="I62" s="653">
        <v>322</v>
      </c>
      <c r="J62" s="653">
        <v>267</v>
      </c>
      <c r="K62" s="653">
        <v>84</v>
      </c>
      <c r="L62" s="667">
        <v>6.4</v>
      </c>
      <c r="M62" s="666">
        <v>2.8</v>
      </c>
      <c r="N62" s="671">
        <v>503</v>
      </c>
      <c r="O62" s="678"/>
    </row>
    <row r="63" spans="1:15" x14ac:dyDescent="0.45">
      <c r="B63" s="654" t="s">
        <v>1001</v>
      </c>
      <c r="C63" s="653">
        <v>515</v>
      </c>
      <c r="D63" s="653">
        <v>14</v>
      </c>
      <c r="E63" s="649">
        <v>53.4</v>
      </c>
      <c r="F63" s="649">
        <v>27.3</v>
      </c>
      <c r="G63" s="653">
        <v>140</v>
      </c>
      <c r="H63" s="653">
        <v>507</v>
      </c>
      <c r="I63" s="653">
        <v>390</v>
      </c>
      <c r="J63" s="653">
        <v>218</v>
      </c>
      <c r="K63" s="653">
        <v>40</v>
      </c>
      <c r="L63" s="667">
        <v>6</v>
      </c>
      <c r="M63" s="666">
        <v>9.8000000000000007</v>
      </c>
      <c r="N63" s="671">
        <v>310</v>
      </c>
      <c r="O63" s="678"/>
    </row>
    <row r="64" spans="1:15" x14ac:dyDescent="0.45">
      <c r="B64" s="654" t="s">
        <v>1002</v>
      </c>
      <c r="C64" s="654">
        <v>474</v>
      </c>
      <c r="D64" s="654">
        <v>15.6</v>
      </c>
      <c r="E64" s="646">
        <v>22.9</v>
      </c>
      <c r="F64" s="646">
        <v>49.8</v>
      </c>
      <c r="G64" s="654">
        <v>415</v>
      </c>
      <c r="H64" s="654">
        <v>474</v>
      </c>
      <c r="I64" s="654">
        <v>593</v>
      </c>
      <c r="J64" s="654">
        <v>332</v>
      </c>
      <c r="K64" s="666">
        <v>47</v>
      </c>
      <c r="L64" s="646">
        <v>9.5</v>
      </c>
      <c r="M64" s="654">
        <v>18</v>
      </c>
      <c r="N64" s="654">
        <v>504</v>
      </c>
      <c r="O64" s="664"/>
    </row>
    <row r="65" spans="2:15" x14ac:dyDescent="0.45">
      <c r="B65" s="654" t="s">
        <v>989</v>
      </c>
      <c r="C65" s="654">
        <v>491</v>
      </c>
      <c r="D65" s="654">
        <v>13.4</v>
      </c>
      <c r="E65" s="646">
        <v>49.1</v>
      </c>
      <c r="F65" s="646">
        <v>26</v>
      </c>
      <c r="G65" s="654">
        <v>183</v>
      </c>
      <c r="H65" s="654">
        <v>504</v>
      </c>
      <c r="I65" s="654">
        <v>569</v>
      </c>
      <c r="J65" s="654">
        <v>308</v>
      </c>
      <c r="K65" s="666">
        <v>46</v>
      </c>
      <c r="L65" s="646">
        <v>7.9</v>
      </c>
      <c r="M65" s="654">
        <v>11</v>
      </c>
      <c r="N65" s="654">
        <v>360</v>
      </c>
      <c r="O65" s="664"/>
    </row>
    <row r="66" spans="2:15" x14ac:dyDescent="0.45">
      <c r="B66" s="666" t="s">
        <v>1003</v>
      </c>
      <c r="C66" s="653">
        <v>338</v>
      </c>
      <c r="D66" s="653">
        <v>82.1</v>
      </c>
      <c r="E66" s="649">
        <v>2.2000000000000002</v>
      </c>
      <c r="F66" s="649">
        <v>0.1</v>
      </c>
      <c r="G66" s="653">
        <v>776</v>
      </c>
      <c r="H66" s="653">
        <v>1226</v>
      </c>
      <c r="I66" s="653">
        <v>524</v>
      </c>
      <c r="J66" s="653">
        <v>516</v>
      </c>
      <c r="K66" s="653">
        <v>46</v>
      </c>
      <c r="L66" s="646">
        <v>0</v>
      </c>
      <c r="M66" s="654">
        <v>0</v>
      </c>
      <c r="N66" s="654">
        <v>66</v>
      </c>
      <c r="O66" s="664"/>
    </row>
    <row r="67" spans="2:15" x14ac:dyDescent="0.45">
      <c r="B67" s="666" t="s">
        <v>1004</v>
      </c>
      <c r="C67" s="666">
        <v>450</v>
      </c>
      <c r="D67" s="666">
        <v>0</v>
      </c>
      <c r="E67" s="667">
        <v>0</v>
      </c>
      <c r="F67" s="667">
        <v>50</v>
      </c>
      <c r="G67" s="666">
        <v>7</v>
      </c>
      <c r="H67" s="666">
        <v>0</v>
      </c>
      <c r="I67" s="666">
        <v>0</v>
      </c>
      <c r="J67" s="666">
        <v>0</v>
      </c>
      <c r="K67" s="666">
        <v>0</v>
      </c>
      <c r="L67" s="667">
        <v>0</v>
      </c>
      <c r="M67" s="666">
        <v>0</v>
      </c>
      <c r="N67" s="671">
        <v>0.1</v>
      </c>
      <c r="O67" s="678"/>
    </row>
    <row r="68" spans="2:15" x14ac:dyDescent="0.45">
      <c r="B68" s="666" t="s">
        <v>1005</v>
      </c>
      <c r="C68" s="666">
        <v>450</v>
      </c>
      <c r="D68" s="666">
        <v>0</v>
      </c>
      <c r="E68" s="667">
        <v>0</v>
      </c>
      <c r="F68" s="667">
        <v>50</v>
      </c>
      <c r="G68" s="666">
        <v>5</v>
      </c>
      <c r="H68" s="666">
        <v>0.1</v>
      </c>
      <c r="I68" s="666">
        <v>0.3</v>
      </c>
      <c r="J68" s="666">
        <v>0</v>
      </c>
      <c r="K68" s="666">
        <v>0</v>
      </c>
      <c r="L68" s="667">
        <v>0</v>
      </c>
      <c r="M68" s="666">
        <v>0</v>
      </c>
      <c r="N68" s="671">
        <v>0.01</v>
      </c>
      <c r="O68" s="678"/>
    </row>
    <row r="69" spans="2:15" x14ac:dyDescent="0.45">
      <c r="B69" s="666" t="s">
        <v>587</v>
      </c>
      <c r="C69" s="666">
        <v>384</v>
      </c>
      <c r="D69" s="666">
        <v>0</v>
      </c>
      <c r="E69" s="667">
        <v>96</v>
      </c>
      <c r="F69" s="667">
        <v>0</v>
      </c>
      <c r="G69" s="666">
        <v>2</v>
      </c>
      <c r="H69" s="666">
        <v>0</v>
      </c>
      <c r="I69" s="666">
        <v>0</v>
      </c>
      <c r="J69" s="666">
        <v>0</v>
      </c>
      <c r="K69" s="666">
        <v>0</v>
      </c>
      <c r="L69" s="667">
        <v>0</v>
      </c>
      <c r="M69" s="666">
        <v>0</v>
      </c>
      <c r="N69" s="671">
        <v>0</v>
      </c>
      <c r="O69" s="678"/>
    </row>
    <row r="70" spans="2:15" x14ac:dyDescent="0.45">
      <c r="B70" s="666" t="s">
        <v>1006</v>
      </c>
      <c r="C70" s="666">
        <v>493</v>
      </c>
      <c r="D70" s="666">
        <v>11.6</v>
      </c>
      <c r="E70" s="667">
        <v>51.8</v>
      </c>
      <c r="F70" s="679">
        <v>25.7</v>
      </c>
      <c r="G70" s="666">
        <v>150</v>
      </c>
      <c r="H70" s="666">
        <v>598</v>
      </c>
      <c r="I70" s="666">
        <v>346</v>
      </c>
      <c r="J70" s="666">
        <v>191</v>
      </c>
      <c r="K70" s="666">
        <v>39</v>
      </c>
      <c r="L70" s="667">
        <v>3.9</v>
      </c>
      <c r="M70" s="680">
        <v>9.4</v>
      </c>
      <c r="N70" s="676">
        <v>290</v>
      </c>
      <c r="O70" s="681"/>
    </row>
    <row r="71" spans="2:15" x14ac:dyDescent="0.45">
      <c r="B71" s="666" t="s">
        <v>1007</v>
      </c>
      <c r="C71" s="666">
        <v>483</v>
      </c>
      <c r="D71" s="666">
        <v>11</v>
      </c>
      <c r="E71" s="667">
        <v>52.5</v>
      </c>
      <c r="F71" s="667">
        <v>24.6</v>
      </c>
      <c r="G71" s="666">
        <v>181</v>
      </c>
      <c r="H71" s="666">
        <v>530</v>
      </c>
      <c r="I71" s="666">
        <v>339</v>
      </c>
      <c r="J71" s="666">
        <v>190</v>
      </c>
      <c r="K71" s="666">
        <v>37</v>
      </c>
      <c r="L71" s="667">
        <v>3.9</v>
      </c>
      <c r="M71" s="680">
        <v>8.8000000000000007</v>
      </c>
      <c r="N71" s="676">
        <v>302</v>
      </c>
      <c r="O71" s="681"/>
    </row>
    <row r="72" spans="2:15" x14ac:dyDescent="0.45">
      <c r="B72" s="666" t="s">
        <v>1008</v>
      </c>
      <c r="C72" s="666">
        <v>483</v>
      </c>
      <c r="D72" s="666">
        <v>13</v>
      </c>
      <c r="E72" s="667">
        <v>52.5</v>
      </c>
      <c r="F72" s="667">
        <v>24.5</v>
      </c>
      <c r="G72" s="666">
        <v>189</v>
      </c>
      <c r="H72" s="666">
        <v>525</v>
      </c>
      <c r="I72" s="666">
        <v>475</v>
      </c>
      <c r="J72" s="666">
        <v>341</v>
      </c>
      <c r="K72" s="666">
        <v>51</v>
      </c>
      <c r="L72" s="667">
        <v>7.25</v>
      </c>
      <c r="M72" s="680">
        <v>8.8000000000000007</v>
      </c>
      <c r="N72" s="676">
        <v>386</v>
      </c>
      <c r="O72" s="681"/>
    </row>
    <row r="73" spans="2:15" x14ac:dyDescent="0.45">
      <c r="B73" s="666" t="s">
        <v>1009</v>
      </c>
      <c r="C73" s="666">
        <v>475</v>
      </c>
      <c r="D73" s="666">
        <v>13.3</v>
      </c>
      <c r="E73" s="667">
        <v>56</v>
      </c>
      <c r="F73" s="667">
        <v>22</v>
      </c>
      <c r="G73" s="666">
        <v>285</v>
      </c>
      <c r="H73" s="666">
        <v>546</v>
      </c>
      <c r="I73" s="666">
        <v>428</v>
      </c>
      <c r="J73" s="666">
        <v>309</v>
      </c>
      <c r="K73" s="666">
        <v>66.5</v>
      </c>
      <c r="L73" s="667">
        <v>5.7</v>
      </c>
      <c r="M73" s="666">
        <v>6.2</v>
      </c>
      <c r="N73" s="671">
        <v>437</v>
      </c>
      <c r="O73" s="678"/>
    </row>
    <row r="74" spans="2:15" x14ac:dyDescent="0.45">
      <c r="B74" s="671" t="s">
        <v>1118</v>
      </c>
      <c r="C74" s="682">
        <v>484</v>
      </c>
      <c r="D74" s="682">
        <v>9.6999999999999993</v>
      </c>
      <c r="E74" s="682">
        <v>53.8</v>
      </c>
      <c r="F74" s="682">
        <v>24.7</v>
      </c>
      <c r="G74" s="682">
        <v>125</v>
      </c>
      <c r="H74" s="682">
        <v>501</v>
      </c>
      <c r="I74" s="682">
        <v>418</v>
      </c>
      <c r="J74" s="682">
        <v>237</v>
      </c>
      <c r="K74" s="682">
        <v>37</v>
      </c>
      <c r="L74" s="682">
        <v>3.9</v>
      </c>
      <c r="M74" s="682">
        <v>8.6999999999999993</v>
      </c>
      <c r="N74" s="672">
        <v>304</v>
      </c>
    </row>
    <row r="75" spans="2:15" x14ac:dyDescent="0.45">
      <c r="B75" s="671" t="s">
        <v>1063</v>
      </c>
      <c r="C75" s="682">
        <v>318</v>
      </c>
      <c r="D75" s="682">
        <v>0</v>
      </c>
      <c r="E75" s="682">
        <v>66.2</v>
      </c>
      <c r="F75" s="682">
        <v>0.3</v>
      </c>
      <c r="G75" s="682">
        <v>6</v>
      </c>
      <c r="H75" s="682">
        <v>91</v>
      </c>
      <c r="I75" s="682">
        <v>335</v>
      </c>
      <c r="J75" s="682">
        <v>12</v>
      </c>
      <c r="K75" s="682">
        <v>9.1</v>
      </c>
      <c r="L75" s="682">
        <v>8.8000000000000007</v>
      </c>
      <c r="M75" s="682">
        <v>0</v>
      </c>
      <c r="N75" s="672">
        <v>109</v>
      </c>
    </row>
    <row r="76" spans="2:15" x14ac:dyDescent="0.45">
      <c r="B76" s="671"/>
      <c r="C76" s="682"/>
      <c r="D76" s="682"/>
      <c r="E76" s="682"/>
      <c r="F76" s="682"/>
      <c r="G76" s="682"/>
      <c r="H76" s="682"/>
      <c r="I76" s="682"/>
      <c r="J76" s="682"/>
      <c r="K76" s="682"/>
      <c r="L76" s="682"/>
      <c r="M76" s="682"/>
      <c r="N76" s="672"/>
    </row>
  </sheetData>
  <sortState ref="C14:C46">
    <sortCondition ref="C13"/>
  </sortState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328125" defaultRowHeight="12.85" x14ac:dyDescent="0.35"/>
  <cols>
    <col min="1" max="1" width="7.1328125" style="517" customWidth="1"/>
    <col min="2" max="2" width="6" style="517" customWidth="1"/>
    <col min="3" max="3" width="26.3984375" style="517" customWidth="1"/>
    <col min="4" max="4" width="4.59765625" style="517" customWidth="1"/>
    <col min="5" max="5" width="9.1328125" style="517"/>
    <col min="6" max="6" width="4.265625" style="517" customWidth="1"/>
    <col min="7" max="7" width="11.73046875" style="517" customWidth="1"/>
    <col min="8" max="23" width="2.73046875" style="16" customWidth="1"/>
    <col min="24" max="33" width="2.73046875" style="517" customWidth="1"/>
    <col min="34" max="16384" width="9.1328125" style="517"/>
  </cols>
  <sheetData>
    <row r="1" spans="1:33" ht="19.55" customHeight="1" thickBot="1" x14ac:dyDescent="0.4">
      <c r="A1" s="577"/>
      <c r="B1" s="517" t="str">
        <f>"Naam: "&amp;__2_AchterNaam&amp;", "&amp;__3_VoorNaam</f>
        <v>Naam: Test, Test</v>
      </c>
      <c r="D1" s="517" t="str">
        <f>"Geboortedatum: "</f>
        <v xml:space="preserve">Geboortedatum: </v>
      </c>
      <c r="F1" s="893">
        <f>__4_GebDatum</f>
        <v>42736</v>
      </c>
      <c r="G1" s="893"/>
      <c r="I1" s="9" t="str">
        <f>"Gewicht: "&amp;ROUND(_Pat_Gewicht/10,1)&amp;"kg"</f>
        <v>Gewicht: 10kg</v>
      </c>
      <c r="P1" s="9" t="s">
        <v>200</v>
      </c>
      <c r="R1" s="891"/>
      <c r="S1" s="891"/>
      <c r="T1" s="891"/>
      <c r="U1" s="891"/>
      <c r="V1" s="891"/>
      <c r="W1" s="891"/>
      <c r="Y1" s="517" t="s">
        <v>328</v>
      </c>
      <c r="AB1" s="892">
        <f ca="1">TODAY()</f>
        <v>42736</v>
      </c>
      <c r="AC1" s="892"/>
      <c r="AD1" s="892"/>
      <c r="AE1" s="892"/>
      <c r="AF1" s="892"/>
    </row>
    <row r="2" spans="1:33" ht="26.1" customHeight="1" x14ac:dyDescent="0.35">
      <c r="B2" s="99"/>
      <c r="C2" s="100" t="s">
        <v>355</v>
      </c>
      <c r="D2" s="101" t="s">
        <v>356</v>
      </c>
      <c r="E2" s="101"/>
      <c r="F2" s="101"/>
      <c r="G2" s="102" t="s">
        <v>335</v>
      </c>
      <c r="H2" s="103">
        <v>9</v>
      </c>
      <c r="I2" s="103">
        <v>10</v>
      </c>
      <c r="J2" s="103">
        <v>11</v>
      </c>
      <c r="K2" s="103">
        <v>12</v>
      </c>
      <c r="L2" s="103">
        <v>13</v>
      </c>
      <c r="M2" s="103">
        <v>14</v>
      </c>
      <c r="N2" s="103">
        <v>15</v>
      </c>
      <c r="O2" s="103">
        <v>16</v>
      </c>
      <c r="P2" s="103">
        <v>17</v>
      </c>
      <c r="Q2" s="103">
        <v>18</v>
      </c>
      <c r="R2" s="103">
        <v>19</v>
      </c>
      <c r="S2" s="103">
        <v>20</v>
      </c>
      <c r="T2" s="103">
        <v>21</v>
      </c>
      <c r="U2" s="103">
        <v>22</v>
      </c>
      <c r="V2" s="103">
        <v>23</v>
      </c>
      <c r="W2" s="103">
        <v>24</v>
      </c>
      <c r="X2" s="103">
        <v>1</v>
      </c>
      <c r="Y2" s="103">
        <v>2</v>
      </c>
      <c r="Z2" s="103">
        <v>3</v>
      </c>
      <c r="AA2" s="103">
        <v>4</v>
      </c>
      <c r="AB2" s="103">
        <v>5</v>
      </c>
      <c r="AC2" s="103">
        <v>6</v>
      </c>
      <c r="AD2" s="103">
        <v>7</v>
      </c>
      <c r="AE2" s="103">
        <v>8</v>
      </c>
      <c r="AF2" s="105"/>
      <c r="AG2" s="105"/>
    </row>
    <row r="3" spans="1:33" ht="26.1" customHeight="1" x14ac:dyDescent="0.35">
      <c r="B3" s="107"/>
      <c r="C3" s="231" t="str">
        <f>IF(PedBerMedDisc!C2&lt;&gt;"",IF(PedBerMedDisc!C2&gt;1,TRIM(PedBerMedDisc!C2)&amp;", "&amp;GlobBerOpm!C7&amp;" ("&amp;PedBerMedDisc!M2&amp;" "&amp;PedBerMedDisc!F2&amp;"/kg/dag)",TRIM(PedBerMedDisc!C2)&amp;", "&amp;GlobBerOpm!C7),"")</f>
        <v/>
      </c>
      <c r="D3" s="232" t="str">
        <f>IF(PedGuiMedDisc!H6&lt;&gt;"",PedGuiMedDisc!H6,"")</f>
        <v/>
      </c>
      <c r="E3" s="233" t="str">
        <f>IF(AND(D3&lt;&gt;"",D3&lt;&gt;"STOP"),PedBerMedDisc!H2&amp;" "&amp;PedBerMedDisc!F2,"")</f>
        <v/>
      </c>
      <c r="F3" s="233" t="str">
        <f>IF(AND(D3&lt;&gt;"",D3&lt;&gt;"STOP"),PedBerMedDisc!L2," ")</f>
        <v xml:space="preserve"> </v>
      </c>
      <c r="G3" s="233" t="str">
        <f>IF(PedGuiMedDisc!L6&lt;&gt;"",PedGuiMedDisc!L6&amp;" "&amp;PedGuiMedDisc!M6&amp;" "&amp;INDEX(PedBerMedDisc!$B$27:$B$30,PedBerMedDisc!O2,1)&amp;" in "&amp;PedGuiMedDisc!$O$6,"")</f>
        <v/>
      </c>
      <c r="H3" s="106" t="str">
        <f>IF(OR($D3="1 dd",$D3="2 dd",$D3="3 dd",$D3="4 dd",$D3="5 dd",$D3="6 dd",$D3="8 dd",$D3="12 dd",$D3="24 dd",$D3="an",$D3="zn"),VLOOKUP($D3,NeoTblTijden!$A$17:$Y$27,NeoTblTijden!B$15,FALSE),"")</f>
        <v/>
      </c>
      <c r="I3" s="611" t="str">
        <f>IF(OR($D3="1 dd",$D3="2 dd",$D3="3 dd",$D3="4 dd",$D3="5 dd",$D3="6 dd",$D3="8 dd",$D3="12 dd",$D3="24 dd",$D3="an",$D3="zn"),VLOOKUP($D3,NeoTblTijden!$A$17:$Y$27,NeoTblTijden!C$15,FALSE),"")</f>
        <v/>
      </c>
      <c r="J3" s="106" t="str">
        <f>IF(OR($D3="1 dd",$D3="2 dd",$D3="3 dd",$D3="4 dd",$D3="5 dd",$D3="6 dd",$D3="8 dd",$D3="12 dd",$D3="24 dd",$D3="an",$D3="zn"),VLOOKUP($D3,NeoTblTijden!$A$17:$Y$27,NeoTblTijden!D$15,FALSE),"")</f>
        <v/>
      </c>
      <c r="K3" s="611" t="str">
        <f>IF(OR($D3="1 dd",$D3="2 dd",$D3="3 dd",$D3="4 dd",$D3="5 dd",$D3="6 dd",$D3="8 dd",$D3="12 dd",$D3="24 dd",$D3="an",$D3="zn"),VLOOKUP($D3,NeoTblTijden!$A$17:$Y$27,NeoTblTijden!E$15,FALSE),"")</f>
        <v/>
      </c>
      <c r="L3" s="106" t="str">
        <f>IF(OR($D3="1 dd",$D3="2 dd",$D3="3 dd",$D3="4 dd",$D3="5 dd",$D3="6 dd",$D3="8 dd",$D3="12 dd",$D3="24 dd",$D3="an",$D3="zn"),VLOOKUP($D3,NeoTblTijden!$A$17:$Y$27,NeoTblTijden!F$15,FALSE),"")</f>
        <v/>
      </c>
      <c r="M3" s="611" t="str">
        <f>IF(OR($D3="1 dd",$D3="2 dd",$D3="3 dd",$D3="4 dd",$D3="5 dd",$D3="6 dd",$D3="8 dd",$D3="12 dd",$D3="24 dd",$D3="an",$D3="zn"),VLOOKUP($D3,NeoTblTijden!$A$17:$Y$27,NeoTblTijden!G$15,FALSE),"")</f>
        <v/>
      </c>
      <c r="N3" s="106" t="str">
        <f>IF(OR($D3="1 dd",$D3="2 dd",$D3="3 dd",$D3="4 dd",$D3="5 dd",$D3="6 dd",$D3="8 dd",$D3="12 dd",$D3="24 dd",$D3="an",$D3="zn"),VLOOKUP($D3,NeoTblTijden!$A$17:$Y$27,NeoTblTijden!H$15,FALSE),"")</f>
        <v/>
      </c>
      <c r="O3" s="611" t="str">
        <f>IF(OR($D3="1 dd",$D3="2 dd",$D3="3 dd",$D3="4 dd",$D3="5 dd",$D3="6 dd",$D3="8 dd",$D3="12 dd",$D3="24 dd",$D3="an",$D3="zn"),VLOOKUP($D3,NeoTblTijden!$A$17:$Y$27,NeoTblTijden!I$15,FALSE),"")</f>
        <v/>
      </c>
      <c r="P3" s="106" t="str">
        <f>IF(OR($D3="1 dd",$D3="2 dd",$D3="3 dd",$D3="4 dd",$D3="5 dd",$D3="6 dd",$D3="8 dd",$D3="12 dd",$D3="24 dd",$D3="an",$D3="zn"),VLOOKUP($D3,NeoTblTijden!$A$17:$Y$27,NeoTblTijden!J$15,FALSE),"")</f>
        <v/>
      </c>
      <c r="Q3" s="611" t="str">
        <f>IF(OR($D3="1 dd",$D3="2 dd",$D3="3 dd",$D3="4 dd",$D3="5 dd",$D3="6 dd",$D3="8 dd",$D3="12 dd",$D3="24 dd",$D3="an",$D3="zn"),VLOOKUP($D3,NeoTblTijden!$A$17:$Y$27,NeoTblTijden!K$15,FALSE),"")</f>
        <v/>
      </c>
      <c r="R3" s="106" t="str">
        <f>IF(OR($D3="1 dd",$D3="2 dd",$D3="3 dd",$D3="4 dd",$D3="5 dd",$D3="6 dd",$D3="8 dd",$D3="12 dd",$D3="24 dd",$D3="an",$D3="zn"),VLOOKUP($D3,NeoTblTijden!$A$17:$Y$27,NeoTblTijden!L$15,FALSE),"")</f>
        <v/>
      </c>
      <c r="S3" s="611" t="str">
        <f>IF(OR($D3="1 dd",$D3="2 dd",$D3="3 dd",$D3="4 dd",$D3="5 dd",$D3="6 dd",$D3="8 dd",$D3="12 dd",$D3="24 dd",$D3="an",$D3="zn"),VLOOKUP($D3,NeoTblTijden!$A$17:$Y$27,NeoTblTijden!M$15,FALSE),"")</f>
        <v/>
      </c>
      <c r="T3" s="106" t="str">
        <f>IF(OR($D3="1 dd",$D3="2 dd",$D3="3 dd",$D3="4 dd",$D3="5 dd",$D3="6 dd",$D3="8 dd",$D3="12 dd",$D3="24 dd",$D3="an",$D3="zn"),VLOOKUP($D3,NeoTblTijden!$A$17:$Y$27,NeoTblTijden!N$15,FALSE),"")</f>
        <v/>
      </c>
      <c r="U3" s="611" t="str">
        <f>IF(OR($D3="1 dd",$D3="2 dd",$D3="3 dd",$D3="4 dd",$D3="5 dd",$D3="6 dd",$D3="8 dd",$D3="12 dd",$D3="24 dd",$D3="an",$D3="zn"),VLOOKUP($D3,NeoTblTijden!$A$17:$Y$27,NeoTblTijden!O$15,FALSE),"")</f>
        <v/>
      </c>
      <c r="V3" s="106" t="str">
        <f>IF(OR($D3="1 dd",$D3="2 dd",$D3="3 dd",$D3="4 dd",$D3="5 dd",$D3="6 dd",$D3="8 dd",$D3="12 dd",$D3="24 dd",$D3="an",$D3="zn"),VLOOKUP($D3,NeoTblTijden!$A$17:$Y$27,NeoTblTijden!P$15,FALSE),"")</f>
        <v/>
      </c>
      <c r="W3" s="611" t="str">
        <f>IF(OR($D3="1 dd",$D3="2 dd",$D3="3 dd",$D3="4 dd",$D3="5 dd",$D3="6 dd",$D3="8 dd",$D3="12 dd",$D3="24 dd",$D3="an",$D3="zn"),VLOOKUP($D3,NeoTblTijden!$A$17:$Y$27,NeoTblTijden!Q$15,FALSE),"")</f>
        <v/>
      </c>
      <c r="X3" s="106" t="str">
        <f>IF(OR($D3="1 dd",$D3="2 dd",$D3="3 dd",$D3="4 dd",$D3="5 dd",$D3="6 dd",$D3="8 dd",$D3="12 dd",$D3="24 dd",$D3="an",$D3="zn"),VLOOKUP($D3,NeoTblTijden!$A$17:$Y$27,NeoTblTijden!R$15,FALSE),"")</f>
        <v/>
      </c>
      <c r="Y3" s="611" t="str">
        <f>IF(OR($D3="1 dd",$D3="2 dd",$D3="3 dd",$D3="4 dd",$D3="5 dd",$D3="6 dd",$D3="8 dd",$D3="12 dd",$D3="24 dd",$D3="an",$D3="zn"),VLOOKUP($D3,NeoTblTijden!$A$17:$Y$27,NeoTblTijden!S$15,FALSE),"")</f>
        <v/>
      </c>
      <c r="Z3" s="106" t="str">
        <f>IF(OR($D3="1 dd",$D3="2 dd",$D3="3 dd",$D3="4 dd",$D3="5 dd",$D3="6 dd",$D3="8 dd",$D3="12 dd",$D3="24 dd",$D3="an",$D3="zn"),VLOOKUP($D3,NeoTblTijden!$A$17:$Y$27,NeoTblTijden!T$15,FALSE),"")</f>
        <v/>
      </c>
      <c r="AA3" s="611" t="str">
        <f>IF(OR($D3="1 dd",$D3="2 dd",$D3="3 dd",$D3="4 dd",$D3="5 dd",$D3="6 dd",$D3="8 dd",$D3="12 dd",$D3="24 dd",$D3="an",$D3="zn"),VLOOKUP($D3,NeoTblTijden!$A$17:$Y$27,NeoTblTijden!U$15,FALSE),"")</f>
        <v/>
      </c>
      <c r="AB3" s="106" t="str">
        <f>IF(OR($D3="1 dd",$D3="2 dd",$D3="3 dd",$D3="4 dd",$D3="5 dd",$D3="6 dd",$D3="8 dd",$D3="12 dd",$D3="24 dd",$D3="an",$D3="zn"),VLOOKUP($D3,NeoTblTijden!$A$17:$Y$27,NeoTblTijden!V$15,FALSE),"")</f>
        <v/>
      </c>
      <c r="AC3" s="611" t="str">
        <f>IF(OR($D3="1 dd",$D3="2 dd",$D3="3 dd",$D3="4 dd",$D3="5 dd",$D3="6 dd",$D3="8 dd",$D3="12 dd",$D3="24 dd",$D3="an",$D3="zn"),VLOOKUP($D3,NeoTblTijden!$A$17:$Y$27,NeoTblTijden!W$15,FALSE),"")</f>
        <v/>
      </c>
      <c r="AD3" s="106" t="str">
        <f>IF(OR($D3="1 dd",$D3="2 dd",$D3="3 dd",$D3="4 dd",$D3="5 dd",$D3="6 dd",$D3="8 dd",$D3="12 dd",$D3="24 dd",$D3="an",$D3="zn"),VLOOKUP($D3,NeoTblTijden!$A$17:$Y$27,NeoTblTijden!X$15,FALSE),"")</f>
        <v/>
      </c>
      <c r="AE3" s="611" t="str">
        <f>IF(OR($D3="1 dd",$D3="2 dd",$D3="3 dd",$D3="4 dd",$D3="5 dd",$D3="6 dd",$D3="8 dd",$D3="12 dd",$D3="24 dd",$D3="an",$D3="zn"),VLOOKUP($D3,NeoTblTijden!$A$17:$Y$27,NeoTblTijden!Y$15,FALSE),"")</f>
        <v/>
      </c>
      <c r="AF3" s="105"/>
      <c r="AG3" s="17"/>
    </row>
    <row r="4" spans="1:33" ht="26.1" customHeight="1" x14ac:dyDescent="0.35">
      <c r="B4" s="107"/>
      <c r="C4" s="231" t="str">
        <f>IF(PedBerMedDisc!C3&lt;&gt;"",IF(PedBerMedDisc!C3&gt;1,TRIM(PedBerMedDisc!C3)&amp;", "&amp;GlobBerOpm!C8&amp;" ("&amp;PedBerMedDisc!M3&amp;" "&amp;PedBerMedDisc!F3&amp;"/kg/dag)",TRIM(PedBerMedDisc!C3)&amp;", "&amp;GlobBerOpm!C8),"")</f>
        <v/>
      </c>
      <c r="D4" s="232" t="str">
        <f>IF(PedGuiMedDisc!H8&lt;&gt;"",PedGuiMedDisc!H8,"")</f>
        <v/>
      </c>
      <c r="E4" s="233" t="str">
        <f>IF(AND(D4&lt;&gt;"",D4&lt;&gt;"STOP"),PedBerMedDisc!H3&amp;" "&amp;PedBerMedDisc!F3,"")</f>
        <v/>
      </c>
      <c r="F4" s="233" t="str">
        <f>IF(AND(D4&lt;&gt;"",D4&lt;&gt;"STOP"),PedBerMedDisc!L3," ")</f>
        <v xml:space="preserve"> </v>
      </c>
      <c r="G4" s="233" t="str">
        <f>IF(PedGuiMedDisc!L8&lt;&gt;"",PedGuiMedDisc!L8&amp;" "&amp;PedGuiMedDisc!M8&amp;" "&amp;INDEX(PedBerMedDisc!$B$27:$B$30,PedBerMedDisc!O3,1)&amp;" in "&amp;PedGuiMedDisc!$O$8,"")</f>
        <v/>
      </c>
      <c r="H4" s="106" t="str">
        <f>IF(OR($D4="1 dd",$D4="2 dd",$D4="3 dd",$D4="4 dd",$D4="5 dd",$D4="6 dd",$D4="8 dd",$D4="12 dd",$D4="24 dd",$D4="an",$D4="zn"),VLOOKUP($D4,NeoTblTijden!$A$17:$Y$27,NeoTblTijden!B$15,FALSE),"")</f>
        <v/>
      </c>
      <c r="I4" s="611" t="str">
        <f>IF(OR($D4="1 dd",$D4="2 dd",$D4="3 dd",$D4="4 dd",$D4="5 dd",$D4="6 dd",$D4="8 dd",$D4="12 dd",$D4="24 dd",$D4="an",$D4="zn"),VLOOKUP($D4,NeoTblTijden!$A$17:$Y$27,NeoTblTijden!C$15,FALSE),"")</f>
        <v/>
      </c>
      <c r="J4" s="106" t="str">
        <f>IF(OR($D4="1 dd",$D4="2 dd",$D4="3 dd",$D4="4 dd",$D4="5 dd",$D4="6 dd",$D4="8 dd",$D4="12 dd",$D4="24 dd",$D4="an",$D4="zn"),VLOOKUP($D4,NeoTblTijden!$A$17:$Y$27,NeoTblTijden!D$15,FALSE),"")</f>
        <v/>
      </c>
      <c r="K4" s="611" t="str">
        <f>IF(OR($D4="1 dd",$D4="2 dd",$D4="3 dd",$D4="4 dd",$D4="5 dd",$D4="6 dd",$D4="8 dd",$D4="12 dd",$D4="24 dd",$D4="an",$D4="zn"),VLOOKUP($D4,NeoTblTijden!$A$17:$Y$27,NeoTblTijden!E$15,FALSE),"")</f>
        <v/>
      </c>
      <c r="L4" s="106" t="str">
        <f>IF(OR($D4="1 dd",$D4="2 dd",$D4="3 dd",$D4="4 dd",$D4="5 dd",$D4="6 dd",$D4="8 dd",$D4="12 dd",$D4="24 dd",$D4="an",$D4="zn"),VLOOKUP($D4,NeoTblTijden!$A$17:$Y$27,NeoTblTijden!F$15,FALSE),"")</f>
        <v/>
      </c>
      <c r="M4" s="611" t="str">
        <f>IF(OR($D4="1 dd",$D4="2 dd",$D4="3 dd",$D4="4 dd",$D4="5 dd",$D4="6 dd",$D4="8 dd",$D4="12 dd",$D4="24 dd",$D4="an",$D4="zn"),VLOOKUP($D4,NeoTblTijden!$A$17:$Y$27,NeoTblTijden!G$15,FALSE),"")</f>
        <v/>
      </c>
      <c r="N4" s="106" t="str">
        <f>IF(OR($D4="1 dd",$D4="2 dd",$D4="3 dd",$D4="4 dd",$D4="5 dd",$D4="6 dd",$D4="8 dd",$D4="12 dd",$D4="24 dd",$D4="an",$D4="zn"),VLOOKUP($D4,NeoTblTijden!$A$17:$Y$27,NeoTblTijden!H$15,FALSE),"")</f>
        <v/>
      </c>
      <c r="O4" s="611" t="str">
        <f>IF(OR($D4="1 dd",$D4="2 dd",$D4="3 dd",$D4="4 dd",$D4="5 dd",$D4="6 dd",$D4="8 dd",$D4="12 dd",$D4="24 dd",$D4="an",$D4="zn"),VLOOKUP($D4,NeoTblTijden!$A$17:$Y$27,NeoTblTijden!I$15,FALSE),"")</f>
        <v/>
      </c>
      <c r="P4" s="106" t="str">
        <f>IF(OR($D4="1 dd",$D4="2 dd",$D4="3 dd",$D4="4 dd",$D4="5 dd",$D4="6 dd",$D4="8 dd",$D4="12 dd",$D4="24 dd",$D4="an",$D4="zn"),VLOOKUP($D4,NeoTblTijden!$A$17:$Y$27,NeoTblTijden!J$15,FALSE),"")</f>
        <v/>
      </c>
      <c r="Q4" s="611" t="str">
        <f>IF(OR($D4="1 dd",$D4="2 dd",$D4="3 dd",$D4="4 dd",$D4="5 dd",$D4="6 dd",$D4="8 dd",$D4="12 dd",$D4="24 dd",$D4="an",$D4="zn"),VLOOKUP($D4,NeoTblTijden!$A$17:$Y$27,NeoTblTijden!K$15,FALSE),"")</f>
        <v/>
      </c>
      <c r="R4" s="106" t="str">
        <f>IF(OR($D4="1 dd",$D4="2 dd",$D4="3 dd",$D4="4 dd",$D4="5 dd",$D4="6 dd",$D4="8 dd",$D4="12 dd",$D4="24 dd",$D4="an",$D4="zn"),VLOOKUP($D4,NeoTblTijden!$A$17:$Y$27,NeoTblTijden!L$15,FALSE),"")</f>
        <v/>
      </c>
      <c r="S4" s="611" t="str">
        <f>IF(OR($D4="1 dd",$D4="2 dd",$D4="3 dd",$D4="4 dd",$D4="5 dd",$D4="6 dd",$D4="8 dd",$D4="12 dd",$D4="24 dd",$D4="an",$D4="zn"),VLOOKUP($D4,NeoTblTijden!$A$17:$Y$27,NeoTblTijden!M$15,FALSE),"")</f>
        <v/>
      </c>
      <c r="T4" s="106" t="str">
        <f>IF(OR($D4="1 dd",$D4="2 dd",$D4="3 dd",$D4="4 dd",$D4="5 dd",$D4="6 dd",$D4="8 dd",$D4="12 dd",$D4="24 dd",$D4="an",$D4="zn"),VLOOKUP($D4,NeoTblTijden!$A$17:$Y$27,NeoTblTijden!N$15,FALSE),"")</f>
        <v/>
      </c>
      <c r="U4" s="611" t="str">
        <f>IF(OR($D4="1 dd",$D4="2 dd",$D4="3 dd",$D4="4 dd",$D4="5 dd",$D4="6 dd",$D4="8 dd",$D4="12 dd",$D4="24 dd",$D4="an",$D4="zn"),VLOOKUP($D4,NeoTblTijden!$A$17:$Y$27,NeoTblTijden!O$15,FALSE),"")</f>
        <v/>
      </c>
      <c r="V4" s="106" t="str">
        <f>IF(OR($D4="1 dd",$D4="2 dd",$D4="3 dd",$D4="4 dd",$D4="5 dd",$D4="6 dd",$D4="8 dd",$D4="12 dd",$D4="24 dd",$D4="an",$D4="zn"),VLOOKUP($D4,NeoTblTijden!$A$17:$Y$27,NeoTblTijden!P$15,FALSE),"")</f>
        <v/>
      </c>
      <c r="W4" s="611" t="str">
        <f>IF(OR($D4="1 dd",$D4="2 dd",$D4="3 dd",$D4="4 dd",$D4="5 dd",$D4="6 dd",$D4="8 dd",$D4="12 dd",$D4="24 dd",$D4="an",$D4="zn"),VLOOKUP($D4,NeoTblTijden!$A$17:$Y$27,NeoTblTijden!Q$15,FALSE),"")</f>
        <v/>
      </c>
      <c r="X4" s="106" t="str">
        <f>IF(OR($D4="1 dd",$D4="2 dd",$D4="3 dd",$D4="4 dd",$D4="5 dd",$D4="6 dd",$D4="8 dd",$D4="12 dd",$D4="24 dd",$D4="an",$D4="zn"),VLOOKUP($D4,NeoTblTijden!$A$17:$Y$27,NeoTblTijden!R$15,FALSE),"")</f>
        <v/>
      </c>
      <c r="Y4" s="611" t="str">
        <f>IF(OR($D4="1 dd",$D4="2 dd",$D4="3 dd",$D4="4 dd",$D4="5 dd",$D4="6 dd",$D4="8 dd",$D4="12 dd",$D4="24 dd",$D4="an",$D4="zn"),VLOOKUP($D4,NeoTblTijden!$A$17:$Y$27,NeoTblTijden!S$15,FALSE),"")</f>
        <v/>
      </c>
      <c r="Z4" s="106" t="str">
        <f>IF(OR($D4="1 dd",$D4="2 dd",$D4="3 dd",$D4="4 dd",$D4="5 dd",$D4="6 dd",$D4="8 dd",$D4="12 dd",$D4="24 dd",$D4="an",$D4="zn"),VLOOKUP($D4,NeoTblTijden!$A$17:$Y$27,NeoTblTijden!T$15,FALSE),"")</f>
        <v/>
      </c>
      <c r="AA4" s="611" t="str">
        <f>IF(OR($D4="1 dd",$D4="2 dd",$D4="3 dd",$D4="4 dd",$D4="5 dd",$D4="6 dd",$D4="8 dd",$D4="12 dd",$D4="24 dd",$D4="an",$D4="zn"),VLOOKUP($D4,NeoTblTijden!$A$17:$Y$27,NeoTblTijden!U$15,FALSE),"")</f>
        <v/>
      </c>
      <c r="AB4" s="106" t="str">
        <f>IF(OR($D4="1 dd",$D4="2 dd",$D4="3 dd",$D4="4 dd",$D4="5 dd",$D4="6 dd",$D4="8 dd",$D4="12 dd",$D4="24 dd",$D4="an",$D4="zn"),VLOOKUP($D4,NeoTblTijden!$A$17:$Y$27,NeoTblTijden!V$15,FALSE),"")</f>
        <v/>
      </c>
      <c r="AC4" s="611" t="str">
        <f>IF(OR($D4="1 dd",$D4="2 dd",$D4="3 dd",$D4="4 dd",$D4="5 dd",$D4="6 dd",$D4="8 dd",$D4="12 dd",$D4="24 dd",$D4="an",$D4="zn"),VLOOKUP($D4,NeoTblTijden!$A$17:$Y$27,NeoTblTijden!W$15,FALSE),"")</f>
        <v/>
      </c>
      <c r="AD4" s="106" t="str">
        <f>IF(OR($D4="1 dd",$D4="2 dd",$D4="3 dd",$D4="4 dd",$D4="5 dd",$D4="6 dd",$D4="8 dd",$D4="12 dd",$D4="24 dd",$D4="an",$D4="zn"),VLOOKUP($D4,NeoTblTijden!$A$17:$Y$27,NeoTblTijden!X$15,FALSE),"")</f>
        <v/>
      </c>
      <c r="AE4" s="611" t="str">
        <f>IF(OR($D4="1 dd",$D4="2 dd",$D4="3 dd",$D4="4 dd",$D4="5 dd",$D4="6 dd",$D4="8 dd",$D4="12 dd",$D4="24 dd",$D4="an",$D4="zn"),VLOOKUP($D4,NeoTblTijden!$A$17:$Y$27,NeoTblTijden!Y$15,FALSE),"")</f>
        <v/>
      </c>
      <c r="AF4" s="105"/>
      <c r="AG4" s="17"/>
    </row>
    <row r="5" spans="1:33" ht="26.1" customHeight="1" x14ac:dyDescent="0.35">
      <c r="B5" s="107"/>
      <c r="C5" s="231" t="str">
        <f>IF(PedBerMedDisc!C4&lt;&gt;"",IF(PedBerMedDisc!C4&gt;1,TRIM(PedBerMedDisc!C4)&amp;", "&amp;GlobBerOpm!C9&amp;" ("&amp;PedBerMedDisc!M4&amp;" "&amp;PedBerMedDisc!F4&amp;"/kg/dag)",TRIM(PedBerMedDisc!C4)&amp;", "&amp;GlobBerOpm!C9),"")</f>
        <v/>
      </c>
      <c r="D5" s="232" t="str">
        <f>IF(PedGuiMedDisc!H10&lt;&gt;"",PedGuiMedDisc!H10,"")</f>
        <v/>
      </c>
      <c r="E5" s="233" t="str">
        <f>IF(AND(D5&lt;&gt;"",D5&lt;&gt;"STOP"),PedBerMedDisc!H4&amp;" "&amp;PedBerMedDisc!F4,"")</f>
        <v/>
      </c>
      <c r="F5" s="233" t="str">
        <f>IF(AND(D5&lt;&gt;"",D5&lt;&gt;"STOP"),PedBerMedDisc!L4," ")</f>
        <v xml:space="preserve"> </v>
      </c>
      <c r="G5" s="233" t="str">
        <f>IF(PedGuiMedDisc!L10&lt;&gt;"",PedGuiMedDisc!L10&amp;" "&amp;PedGuiMedDisc!M10&amp;" "&amp;INDEX(PedBerMedDisc!$B$27:$B$30,PedBerMedDisc!O4,1)&amp;" in "&amp;PedGuiMedDisc!$O$10,"")</f>
        <v/>
      </c>
      <c r="H5" s="106" t="str">
        <f>IF(OR($D5="1 dd",$D5="2 dd",$D5="3 dd",$D5="4 dd",$D5="5 dd",$D5="6 dd",$D5="8 dd",$D5="12 dd",$D5="24 dd",$D5="an",$D5="zn"),VLOOKUP($D5,NeoTblTijden!$A$17:$Y$27,NeoTblTijden!B$15,FALSE),"")</f>
        <v/>
      </c>
      <c r="I5" s="611" t="str">
        <f>IF(OR($D5="1 dd",$D5="2 dd",$D5="3 dd",$D5="4 dd",$D5="5 dd",$D5="6 dd",$D5="8 dd",$D5="12 dd",$D5="24 dd",$D5="an",$D5="zn"),VLOOKUP($D5,NeoTblTijden!$A$17:$Y$27,NeoTblTijden!C$15,FALSE),"")</f>
        <v/>
      </c>
      <c r="J5" s="106" t="str">
        <f>IF(OR($D5="1 dd",$D5="2 dd",$D5="3 dd",$D5="4 dd",$D5="5 dd",$D5="6 dd",$D5="8 dd",$D5="12 dd",$D5="24 dd",$D5="an",$D5="zn"),VLOOKUP($D5,NeoTblTijden!$A$17:$Y$27,NeoTblTijden!D$15,FALSE),"")</f>
        <v/>
      </c>
      <c r="K5" s="611" t="str">
        <f>IF(OR($D5="1 dd",$D5="2 dd",$D5="3 dd",$D5="4 dd",$D5="5 dd",$D5="6 dd",$D5="8 dd",$D5="12 dd",$D5="24 dd",$D5="an",$D5="zn"),VLOOKUP($D5,NeoTblTijden!$A$17:$Y$27,NeoTblTijden!E$15,FALSE),"")</f>
        <v/>
      </c>
      <c r="L5" s="106" t="str">
        <f>IF(OR($D5="1 dd",$D5="2 dd",$D5="3 dd",$D5="4 dd",$D5="5 dd",$D5="6 dd",$D5="8 dd",$D5="12 dd",$D5="24 dd",$D5="an",$D5="zn"),VLOOKUP($D5,NeoTblTijden!$A$17:$Y$27,NeoTblTijden!F$15,FALSE),"")</f>
        <v/>
      </c>
      <c r="M5" s="611" t="str">
        <f>IF(OR($D5="1 dd",$D5="2 dd",$D5="3 dd",$D5="4 dd",$D5="5 dd",$D5="6 dd",$D5="8 dd",$D5="12 dd",$D5="24 dd",$D5="an",$D5="zn"),VLOOKUP($D5,NeoTblTijden!$A$17:$Y$27,NeoTblTijden!G$15,FALSE),"")</f>
        <v/>
      </c>
      <c r="N5" s="106" t="str">
        <f>IF(OR($D5="1 dd",$D5="2 dd",$D5="3 dd",$D5="4 dd",$D5="5 dd",$D5="6 dd",$D5="8 dd",$D5="12 dd",$D5="24 dd",$D5="an",$D5="zn"),VLOOKUP($D5,NeoTblTijden!$A$17:$Y$27,NeoTblTijden!H$15,FALSE),"")</f>
        <v/>
      </c>
      <c r="O5" s="611" t="str">
        <f>IF(OR($D5="1 dd",$D5="2 dd",$D5="3 dd",$D5="4 dd",$D5="5 dd",$D5="6 dd",$D5="8 dd",$D5="12 dd",$D5="24 dd",$D5="an",$D5="zn"),VLOOKUP($D5,NeoTblTijden!$A$17:$Y$27,NeoTblTijden!I$15,FALSE),"")</f>
        <v/>
      </c>
      <c r="P5" s="106" t="str">
        <f>IF(OR($D5="1 dd",$D5="2 dd",$D5="3 dd",$D5="4 dd",$D5="5 dd",$D5="6 dd",$D5="8 dd",$D5="12 dd",$D5="24 dd",$D5="an",$D5="zn"),VLOOKUP($D5,NeoTblTijden!$A$17:$Y$27,NeoTblTijden!J$15,FALSE),"")</f>
        <v/>
      </c>
      <c r="Q5" s="611" t="str">
        <f>IF(OR($D5="1 dd",$D5="2 dd",$D5="3 dd",$D5="4 dd",$D5="5 dd",$D5="6 dd",$D5="8 dd",$D5="12 dd",$D5="24 dd",$D5="an",$D5="zn"),VLOOKUP($D5,NeoTblTijden!$A$17:$Y$27,NeoTblTijden!K$15,FALSE),"")</f>
        <v/>
      </c>
      <c r="R5" s="106" t="str">
        <f>IF(OR($D5="1 dd",$D5="2 dd",$D5="3 dd",$D5="4 dd",$D5="5 dd",$D5="6 dd",$D5="8 dd",$D5="12 dd",$D5="24 dd",$D5="an",$D5="zn"),VLOOKUP($D5,NeoTblTijden!$A$17:$Y$27,NeoTblTijden!L$15,FALSE),"")</f>
        <v/>
      </c>
      <c r="S5" s="611" t="str">
        <f>IF(OR($D5="1 dd",$D5="2 dd",$D5="3 dd",$D5="4 dd",$D5="5 dd",$D5="6 dd",$D5="8 dd",$D5="12 dd",$D5="24 dd",$D5="an",$D5="zn"),VLOOKUP($D5,NeoTblTijden!$A$17:$Y$27,NeoTblTijden!M$15,FALSE),"")</f>
        <v/>
      </c>
      <c r="T5" s="106" t="str">
        <f>IF(OR($D5="1 dd",$D5="2 dd",$D5="3 dd",$D5="4 dd",$D5="5 dd",$D5="6 dd",$D5="8 dd",$D5="12 dd",$D5="24 dd",$D5="an",$D5="zn"),VLOOKUP($D5,NeoTblTijden!$A$17:$Y$27,NeoTblTijden!N$15,FALSE),"")</f>
        <v/>
      </c>
      <c r="U5" s="611" t="str">
        <f>IF(OR($D5="1 dd",$D5="2 dd",$D5="3 dd",$D5="4 dd",$D5="5 dd",$D5="6 dd",$D5="8 dd",$D5="12 dd",$D5="24 dd",$D5="an",$D5="zn"),VLOOKUP($D5,NeoTblTijden!$A$17:$Y$27,NeoTblTijden!O$15,FALSE),"")</f>
        <v/>
      </c>
      <c r="V5" s="106" t="str">
        <f>IF(OR($D5="1 dd",$D5="2 dd",$D5="3 dd",$D5="4 dd",$D5="5 dd",$D5="6 dd",$D5="8 dd",$D5="12 dd",$D5="24 dd",$D5="an",$D5="zn"),VLOOKUP($D5,NeoTblTijden!$A$17:$Y$27,NeoTblTijden!P$15,FALSE),"")</f>
        <v/>
      </c>
      <c r="W5" s="611" t="str">
        <f>IF(OR($D5="1 dd",$D5="2 dd",$D5="3 dd",$D5="4 dd",$D5="5 dd",$D5="6 dd",$D5="8 dd",$D5="12 dd",$D5="24 dd",$D5="an",$D5="zn"),VLOOKUP($D5,NeoTblTijden!$A$17:$Y$27,NeoTblTijden!Q$15,FALSE),"")</f>
        <v/>
      </c>
      <c r="X5" s="106" t="str">
        <f>IF(OR($D5="1 dd",$D5="2 dd",$D5="3 dd",$D5="4 dd",$D5="5 dd",$D5="6 dd",$D5="8 dd",$D5="12 dd",$D5="24 dd",$D5="an",$D5="zn"),VLOOKUP($D5,NeoTblTijden!$A$17:$Y$27,NeoTblTijden!R$15,FALSE),"")</f>
        <v/>
      </c>
      <c r="Y5" s="611" t="str">
        <f>IF(OR($D5="1 dd",$D5="2 dd",$D5="3 dd",$D5="4 dd",$D5="5 dd",$D5="6 dd",$D5="8 dd",$D5="12 dd",$D5="24 dd",$D5="an",$D5="zn"),VLOOKUP($D5,NeoTblTijden!$A$17:$Y$27,NeoTblTijden!S$15,FALSE),"")</f>
        <v/>
      </c>
      <c r="Z5" s="106" t="str">
        <f>IF(OR($D5="1 dd",$D5="2 dd",$D5="3 dd",$D5="4 dd",$D5="5 dd",$D5="6 dd",$D5="8 dd",$D5="12 dd",$D5="24 dd",$D5="an",$D5="zn"),VLOOKUP($D5,NeoTblTijden!$A$17:$Y$27,NeoTblTijden!T$15,FALSE),"")</f>
        <v/>
      </c>
      <c r="AA5" s="611" t="str">
        <f>IF(OR($D5="1 dd",$D5="2 dd",$D5="3 dd",$D5="4 dd",$D5="5 dd",$D5="6 dd",$D5="8 dd",$D5="12 dd",$D5="24 dd",$D5="an",$D5="zn"),VLOOKUP($D5,NeoTblTijden!$A$17:$Y$27,NeoTblTijden!U$15,FALSE),"")</f>
        <v/>
      </c>
      <c r="AB5" s="106" t="str">
        <f>IF(OR($D5="1 dd",$D5="2 dd",$D5="3 dd",$D5="4 dd",$D5="5 dd",$D5="6 dd",$D5="8 dd",$D5="12 dd",$D5="24 dd",$D5="an",$D5="zn"),VLOOKUP($D5,NeoTblTijden!$A$17:$Y$27,NeoTblTijden!V$15,FALSE),"")</f>
        <v/>
      </c>
      <c r="AC5" s="611" t="str">
        <f>IF(OR($D5="1 dd",$D5="2 dd",$D5="3 dd",$D5="4 dd",$D5="5 dd",$D5="6 dd",$D5="8 dd",$D5="12 dd",$D5="24 dd",$D5="an",$D5="zn"),VLOOKUP($D5,NeoTblTijden!$A$17:$Y$27,NeoTblTijden!W$15,FALSE),"")</f>
        <v/>
      </c>
      <c r="AD5" s="106" t="str">
        <f>IF(OR($D5="1 dd",$D5="2 dd",$D5="3 dd",$D5="4 dd",$D5="5 dd",$D5="6 dd",$D5="8 dd",$D5="12 dd",$D5="24 dd",$D5="an",$D5="zn"),VLOOKUP($D5,NeoTblTijden!$A$17:$Y$27,NeoTblTijden!X$15,FALSE),"")</f>
        <v/>
      </c>
      <c r="AE5" s="611" t="str">
        <f>IF(OR($D5="1 dd",$D5="2 dd",$D5="3 dd",$D5="4 dd",$D5="5 dd",$D5="6 dd",$D5="8 dd",$D5="12 dd",$D5="24 dd",$D5="an",$D5="zn"),VLOOKUP($D5,NeoTblTijden!$A$17:$Y$27,NeoTblTijden!Y$15,FALSE),"")</f>
        <v/>
      </c>
      <c r="AF5" s="105"/>
      <c r="AG5" s="17"/>
    </row>
    <row r="6" spans="1:33" ht="26.1" customHeight="1" x14ac:dyDescent="0.35">
      <c r="A6" s="577"/>
      <c r="B6" s="107"/>
      <c r="C6" s="231" t="str">
        <f>IF(PedBerMedDisc!C5&lt;&gt;"",IF(PedBerMedDisc!C5&gt;1,TRIM(PedBerMedDisc!C5)&amp;", "&amp;GlobBerOpm!C10&amp;" ("&amp;PedBerMedDisc!M5&amp;" "&amp;PedBerMedDisc!F5&amp;"/kg/dag)",TRIM(PedBerMedDisc!C5)&amp;", "&amp;GlobBerOpm!C10),"")</f>
        <v/>
      </c>
      <c r="D6" s="232" t="str">
        <f>IF(PedGuiMedDisc!H12&lt;&gt;"",PedGuiMedDisc!H12,"")</f>
        <v/>
      </c>
      <c r="E6" s="233" t="str">
        <f>IF(AND(D6&lt;&gt;"",D6&lt;&gt;"STOP"),PedBerMedDisc!H5&amp;" "&amp;PedBerMedDisc!F5,"")</f>
        <v/>
      </c>
      <c r="F6" s="233" t="str">
        <f>IF(AND(D6&lt;&gt;"",D6&lt;&gt;"STOP"),PedBerMedDisc!L5," ")</f>
        <v xml:space="preserve"> </v>
      </c>
      <c r="G6" s="233" t="str">
        <f>IF(PedGuiMedDisc!L12&lt;&gt;"",PedGuiMedDisc!L12&amp;" "&amp;PedGuiMedDisc!M12&amp;" "&amp;INDEX(PedBerMedDisc!$B$27:$B$30,PedBerMedDisc!O5,1)&amp;" in "&amp;PedGuiMedDisc!$O$12,"")</f>
        <v/>
      </c>
      <c r="H6" s="106" t="str">
        <f>IF(OR($D6="1 dd",$D6="2 dd",$D6="3 dd",$D6="4 dd",$D6="5 dd",$D6="6 dd",$D6="8 dd",$D6="12 dd",$D6="24 dd",$D6="an",$D6="zn"),VLOOKUP($D6,NeoTblTijden!$A$17:$Y$27,NeoTblTijden!B$15,FALSE),"")</f>
        <v/>
      </c>
      <c r="I6" s="611" t="str">
        <f>IF(OR($D6="1 dd",$D6="2 dd",$D6="3 dd",$D6="4 dd",$D6="5 dd",$D6="6 dd",$D6="8 dd",$D6="12 dd",$D6="24 dd",$D6="an",$D6="zn"),VLOOKUP($D6,NeoTblTijden!$A$17:$Y$27,NeoTblTijden!C$15,FALSE),"")</f>
        <v/>
      </c>
      <c r="J6" s="106" t="str">
        <f>IF(OR($D6="1 dd",$D6="2 dd",$D6="3 dd",$D6="4 dd",$D6="5 dd",$D6="6 dd",$D6="8 dd",$D6="12 dd",$D6="24 dd",$D6="an",$D6="zn"),VLOOKUP($D6,NeoTblTijden!$A$17:$Y$27,NeoTblTijden!D$15,FALSE),"")</f>
        <v/>
      </c>
      <c r="K6" s="611" t="str">
        <f>IF(OR($D6="1 dd",$D6="2 dd",$D6="3 dd",$D6="4 dd",$D6="5 dd",$D6="6 dd",$D6="8 dd",$D6="12 dd",$D6="24 dd",$D6="an",$D6="zn"),VLOOKUP($D6,NeoTblTijden!$A$17:$Y$27,NeoTblTijden!E$15,FALSE),"")</f>
        <v/>
      </c>
      <c r="L6" s="106" t="str">
        <f>IF(OR($D6="1 dd",$D6="2 dd",$D6="3 dd",$D6="4 dd",$D6="5 dd",$D6="6 dd",$D6="8 dd",$D6="12 dd",$D6="24 dd",$D6="an",$D6="zn"),VLOOKUP($D6,NeoTblTijden!$A$17:$Y$27,NeoTblTijden!F$15,FALSE),"")</f>
        <v/>
      </c>
      <c r="M6" s="611" t="str">
        <f>IF(OR($D6="1 dd",$D6="2 dd",$D6="3 dd",$D6="4 dd",$D6="5 dd",$D6="6 dd",$D6="8 dd",$D6="12 dd",$D6="24 dd",$D6="an",$D6="zn"),VLOOKUP($D6,NeoTblTijden!$A$17:$Y$27,NeoTblTijden!G$15,FALSE),"")</f>
        <v/>
      </c>
      <c r="N6" s="106" t="str">
        <f>IF(OR($D6="1 dd",$D6="2 dd",$D6="3 dd",$D6="4 dd",$D6="5 dd",$D6="6 dd",$D6="8 dd",$D6="12 dd",$D6="24 dd",$D6="an",$D6="zn"),VLOOKUP($D6,NeoTblTijden!$A$17:$Y$27,NeoTblTijden!H$15,FALSE),"")</f>
        <v/>
      </c>
      <c r="O6" s="611" t="str">
        <f>IF(OR($D6="1 dd",$D6="2 dd",$D6="3 dd",$D6="4 dd",$D6="5 dd",$D6="6 dd",$D6="8 dd",$D6="12 dd",$D6="24 dd",$D6="an",$D6="zn"),VLOOKUP($D6,NeoTblTijden!$A$17:$Y$27,NeoTblTijden!I$15,FALSE),"")</f>
        <v/>
      </c>
      <c r="P6" s="106" t="str">
        <f>IF(OR($D6="1 dd",$D6="2 dd",$D6="3 dd",$D6="4 dd",$D6="5 dd",$D6="6 dd",$D6="8 dd",$D6="12 dd",$D6="24 dd",$D6="an",$D6="zn"),VLOOKUP($D6,NeoTblTijden!$A$17:$Y$27,NeoTblTijden!J$15,FALSE),"")</f>
        <v/>
      </c>
      <c r="Q6" s="611" t="str">
        <f>IF(OR($D6="1 dd",$D6="2 dd",$D6="3 dd",$D6="4 dd",$D6="5 dd",$D6="6 dd",$D6="8 dd",$D6="12 dd",$D6="24 dd",$D6="an",$D6="zn"),VLOOKUP($D6,NeoTblTijden!$A$17:$Y$27,NeoTblTijden!K$15,FALSE),"")</f>
        <v/>
      </c>
      <c r="R6" s="106" t="str">
        <f>IF(OR($D6="1 dd",$D6="2 dd",$D6="3 dd",$D6="4 dd",$D6="5 dd",$D6="6 dd",$D6="8 dd",$D6="12 dd",$D6="24 dd",$D6="an",$D6="zn"),VLOOKUP($D6,NeoTblTijden!$A$17:$Y$27,NeoTblTijden!L$15,FALSE),"")</f>
        <v/>
      </c>
      <c r="S6" s="611" t="str">
        <f>IF(OR($D6="1 dd",$D6="2 dd",$D6="3 dd",$D6="4 dd",$D6="5 dd",$D6="6 dd",$D6="8 dd",$D6="12 dd",$D6="24 dd",$D6="an",$D6="zn"),VLOOKUP($D6,NeoTblTijden!$A$17:$Y$27,NeoTblTijden!M$15,FALSE),"")</f>
        <v/>
      </c>
      <c r="T6" s="106" t="str">
        <f>IF(OR($D6="1 dd",$D6="2 dd",$D6="3 dd",$D6="4 dd",$D6="5 dd",$D6="6 dd",$D6="8 dd",$D6="12 dd",$D6="24 dd",$D6="an",$D6="zn"),VLOOKUP($D6,NeoTblTijden!$A$17:$Y$27,NeoTblTijden!N$15,FALSE),"")</f>
        <v/>
      </c>
      <c r="U6" s="611" t="str">
        <f>IF(OR($D6="1 dd",$D6="2 dd",$D6="3 dd",$D6="4 dd",$D6="5 dd",$D6="6 dd",$D6="8 dd",$D6="12 dd",$D6="24 dd",$D6="an",$D6="zn"),VLOOKUP($D6,NeoTblTijden!$A$17:$Y$27,NeoTblTijden!O$15,FALSE),"")</f>
        <v/>
      </c>
      <c r="V6" s="106" t="str">
        <f>IF(OR($D6="1 dd",$D6="2 dd",$D6="3 dd",$D6="4 dd",$D6="5 dd",$D6="6 dd",$D6="8 dd",$D6="12 dd",$D6="24 dd",$D6="an",$D6="zn"),VLOOKUP($D6,NeoTblTijden!$A$17:$Y$27,NeoTblTijden!P$15,FALSE),"")</f>
        <v/>
      </c>
      <c r="W6" s="611" t="str">
        <f>IF(OR($D6="1 dd",$D6="2 dd",$D6="3 dd",$D6="4 dd",$D6="5 dd",$D6="6 dd",$D6="8 dd",$D6="12 dd",$D6="24 dd",$D6="an",$D6="zn"),VLOOKUP($D6,NeoTblTijden!$A$17:$Y$27,NeoTblTijden!Q$15,FALSE),"")</f>
        <v/>
      </c>
      <c r="X6" s="106" t="str">
        <f>IF(OR($D6="1 dd",$D6="2 dd",$D6="3 dd",$D6="4 dd",$D6="5 dd",$D6="6 dd",$D6="8 dd",$D6="12 dd",$D6="24 dd",$D6="an",$D6="zn"),VLOOKUP($D6,NeoTblTijden!$A$17:$Y$27,NeoTblTijden!R$15,FALSE),"")</f>
        <v/>
      </c>
      <c r="Y6" s="611" t="str">
        <f>IF(OR($D6="1 dd",$D6="2 dd",$D6="3 dd",$D6="4 dd",$D6="5 dd",$D6="6 dd",$D6="8 dd",$D6="12 dd",$D6="24 dd",$D6="an",$D6="zn"),VLOOKUP($D6,NeoTblTijden!$A$17:$Y$27,NeoTblTijden!S$15,FALSE),"")</f>
        <v/>
      </c>
      <c r="Z6" s="106" t="str">
        <f>IF(OR($D6="1 dd",$D6="2 dd",$D6="3 dd",$D6="4 dd",$D6="5 dd",$D6="6 dd",$D6="8 dd",$D6="12 dd",$D6="24 dd",$D6="an",$D6="zn"),VLOOKUP($D6,NeoTblTijden!$A$17:$Y$27,NeoTblTijden!T$15,FALSE),"")</f>
        <v/>
      </c>
      <c r="AA6" s="611" t="str">
        <f>IF(OR($D6="1 dd",$D6="2 dd",$D6="3 dd",$D6="4 dd",$D6="5 dd",$D6="6 dd",$D6="8 dd",$D6="12 dd",$D6="24 dd",$D6="an",$D6="zn"),VLOOKUP($D6,NeoTblTijden!$A$17:$Y$27,NeoTblTijden!U$15,FALSE),"")</f>
        <v/>
      </c>
      <c r="AB6" s="106" t="str">
        <f>IF(OR($D6="1 dd",$D6="2 dd",$D6="3 dd",$D6="4 dd",$D6="5 dd",$D6="6 dd",$D6="8 dd",$D6="12 dd",$D6="24 dd",$D6="an",$D6="zn"),VLOOKUP($D6,NeoTblTijden!$A$17:$Y$27,NeoTblTijden!V$15,FALSE),"")</f>
        <v/>
      </c>
      <c r="AC6" s="611" t="str">
        <f>IF(OR($D6="1 dd",$D6="2 dd",$D6="3 dd",$D6="4 dd",$D6="5 dd",$D6="6 dd",$D6="8 dd",$D6="12 dd",$D6="24 dd",$D6="an",$D6="zn"),VLOOKUP($D6,NeoTblTijden!$A$17:$Y$27,NeoTblTijden!W$15,FALSE),"")</f>
        <v/>
      </c>
      <c r="AD6" s="106" t="str">
        <f>IF(OR($D6="1 dd",$D6="2 dd",$D6="3 dd",$D6="4 dd",$D6="5 dd",$D6="6 dd",$D6="8 dd",$D6="12 dd",$D6="24 dd",$D6="an",$D6="zn"),VLOOKUP($D6,NeoTblTijden!$A$17:$Y$27,NeoTblTijden!X$15,FALSE),"")</f>
        <v/>
      </c>
      <c r="AE6" s="611" t="str">
        <f>IF(OR($D6="1 dd",$D6="2 dd",$D6="3 dd",$D6="4 dd",$D6="5 dd",$D6="6 dd",$D6="8 dd",$D6="12 dd",$D6="24 dd",$D6="an",$D6="zn"),VLOOKUP($D6,NeoTblTijden!$A$17:$Y$27,NeoTblTijden!Y$15,FALSE),"")</f>
        <v/>
      </c>
      <c r="AF6" s="105"/>
      <c r="AG6" s="17"/>
    </row>
    <row r="7" spans="1:33" ht="26.1" customHeight="1" x14ac:dyDescent="0.35">
      <c r="B7" s="107"/>
      <c r="C7" s="231" t="str">
        <f>IF(PedBerMedDisc!C6&lt;&gt;"",IF(PedBerMedDisc!C6&gt;1,TRIM(PedBerMedDisc!C6)&amp;", "&amp;GlobBerOpm!C11&amp;" ("&amp;PedBerMedDisc!M6&amp;" "&amp;PedBerMedDisc!F6&amp;"/kg/dag)",TRIM(PedBerMedDisc!C6)&amp;", "&amp;GlobBerOpm!C11),"")</f>
        <v/>
      </c>
      <c r="D7" s="232" t="str">
        <f>IF(PedGuiMedDisc!H14&lt;&gt;"",PedGuiMedDisc!H14,"")</f>
        <v/>
      </c>
      <c r="E7" s="233" t="str">
        <f>IF(AND(D7&lt;&gt;"",D7&lt;&gt;"STOP"),PedBerMedDisc!H6&amp;" "&amp;PedBerMedDisc!F6,"")</f>
        <v/>
      </c>
      <c r="F7" s="233" t="str">
        <f>IF(AND(D7&lt;&gt;"",D7&lt;&gt;"STOP"),PedBerMedDisc!L6," ")</f>
        <v xml:space="preserve"> </v>
      </c>
      <c r="G7" s="233" t="str">
        <f>IF(PedGuiMedDisc!L14&lt;&gt;"",PedGuiMedDisc!L14&amp;" "&amp;PedGuiMedDisc!M14&amp;" "&amp;INDEX(PedBerMedDisc!$B$27:$B$30,PedBerMedDisc!O6,1)&amp;" in "&amp;PedGuiMedDisc!$O$14,"")</f>
        <v/>
      </c>
      <c r="H7" s="106" t="str">
        <f>IF(OR($D7="1 dd",$D7="2 dd",$D7="3 dd",$D7="4 dd",$D7="5 dd",$D7="6 dd",$D7="8 dd",$D7="12 dd",$D7="24 dd",$D7="an",$D7="zn"),VLOOKUP($D7,NeoTblTijden!$A$17:$Y$27,NeoTblTijden!B$15,FALSE),"")</f>
        <v/>
      </c>
      <c r="I7" s="611" t="str">
        <f>IF(OR($D7="1 dd",$D7="2 dd",$D7="3 dd",$D7="4 dd",$D7="5 dd",$D7="6 dd",$D7="8 dd",$D7="12 dd",$D7="24 dd",$D7="an",$D7="zn"),VLOOKUP($D7,NeoTblTijden!$A$17:$Y$27,NeoTblTijden!C$15,FALSE),"")</f>
        <v/>
      </c>
      <c r="J7" s="106" t="str">
        <f>IF(OR($D7="1 dd",$D7="2 dd",$D7="3 dd",$D7="4 dd",$D7="5 dd",$D7="6 dd",$D7="8 dd",$D7="12 dd",$D7="24 dd",$D7="an",$D7="zn"),VLOOKUP($D7,NeoTblTijden!$A$17:$Y$27,NeoTblTijden!D$15,FALSE),"")</f>
        <v/>
      </c>
      <c r="K7" s="611" t="str">
        <f>IF(OR($D7="1 dd",$D7="2 dd",$D7="3 dd",$D7="4 dd",$D7="5 dd",$D7="6 dd",$D7="8 dd",$D7="12 dd",$D7="24 dd",$D7="an",$D7="zn"),VLOOKUP($D7,NeoTblTijden!$A$17:$Y$27,NeoTblTijden!E$15,FALSE),"")</f>
        <v/>
      </c>
      <c r="L7" s="106" t="str">
        <f>IF(OR($D7="1 dd",$D7="2 dd",$D7="3 dd",$D7="4 dd",$D7="5 dd",$D7="6 dd",$D7="8 dd",$D7="12 dd",$D7="24 dd",$D7="an",$D7="zn"),VLOOKUP($D7,NeoTblTijden!$A$17:$Y$27,NeoTblTijden!F$15,FALSE),"")</f>
        <v/>
      </c>
      <c r="M7" s="611" t="str">
        <f>IF(OR($D7="1 dd",$D7="2 dd",$D7="3 dd",$D7="4 dd",$D7="5 dd",$D7="6 dd",$D7="8 dd",$D7="12 dd",$D7="24 dd",$D7="an",$D7="zn"),VLOOKUP($D7,NeoTblTijden!$A$17:$Y$27,NeoTblTijden!G$15,FALSE),"")</f>
        <v/>
      </c>
      <c r="N7" s="106" t="str">
        <f>IF(OR($D7="1 dd",$D7="2 dd",$D7="3 dd",$D7="4 dd",$D7="5 dd",$D7="6 dd",$D7="8 dd",$D7="12 dd",$D7="24 dd",$D7="an",$D7="zn"),VLOOKUP($D7,NeoTblTijden!$A$17:$Y$27,NeoTblTijden!H$15,FALSE),"")</f>
        <v/>
      </c>
      <c r="O7" s="611" t="str">
        <f>IF(OR($D7="1 dd",$D7="2 dd",$D7="3 dd",$D7="4 dd",$D7="5 dd",$D7="6 dd",$D7="8 dd",$D7="12 dd",$D7="24 dd",$D7="an",$D7="zn"),VLOOKUP($D7,NeoTblTijden!$A$17:$Y$27,NeoTblTijden!I$15,FALSE),"")</f>
        <v/>
      </c>
      <c r="P7" s="106" t="str">
        <f>IF(OR($D7="1 dd",$D7="2 dd",$D7="3 dd",$D7="4 dd",$D7="5 dd",$D7="6 dd",$D7="8 dd",$D7="12 dd",$D7="24 dd",$D7="an",$D7="zn"),VLOOKUP($D7,NeoTblTijden!$A$17:$Y$27,NeoTblTijden!J$15,FALSE),"")</f>
        <v/>
      </c>
      <c r="Q7" s="611" t="str">
        <f>IF(OR($D7="1 dd",$D7="2 dd",$D7="3 dd",$D7="4 dd",$D7="5 dd",$D7="6 dd",$D7="8 dd",$D7="12 dd",$D7="24 dd",$D7="an",$D7="zn"),VLOOKUP($D7,NeoTblTijden!$A$17:$Y$27,NeoTblTijden!K$15,FALSE),"")</f>
        <v/>
      </c>
      <c r="R7" s="106" t="str">
        <f>IF(OR($D7="1 dd",$D7="2 dd",$D7="3 dd",$D7="4 dd",$D7="5 dd",$D7="6 dd",$D7="8 dd",$D7="12 dd",$D7="24 dd",$D7="an",$D7="zn"),VLOOKUP($D7,NeoTblTijden!$A$17:$Y$27,NeoTblTijden!L$15,FALSE),"")</f>
        <v/>
      </c>
      <c r="S7" s="611" t="str">
        <f>IF(OR($D7="1 dd",$D7="2 dd",$D7="3 dd",$D7="4 dd",$D7="5 dd",$D7="6 dd",$D7="8 dd",$D7="12 dd",$D7="24 dd",$D7="an",$D7="zn"),VLOOKUP($D7,NeoTblTijden!$A$17:$Y$27,NeoTblTijden!M$15,FALSE),"")</f>
        <v/>
      </c>
      <c r="T7" s="106" t="str">
        <f>IF(OR($D7="1 dd",$D7="2 dd",$D7="3 dd",$D7="4 dd",$D7="5 dd",$D7="6 dd",$D7="8 dd",$D7="12 dd",$D7="24 dd",$D7="an",$D7="zn"),VLOOKUP($D7,NeoTblTijden!$A$17:$Y$27,NeoTblTijden!N$15,FALSE),"")</f>
        <v/>
      </c>
      <c r="U7" s="611" t="str">
        <f>IF(OR($D7="1 dd",$D7="2 dd",$D7="3 dd",$D7="4 dd",$D7="5 dd",$D7="6 dd",$D7="8 dd",$D7="12 dd",$D7="24 dd",$D7="an",$D7="zn"),VLOOKUP($D7,NeoTblTijden!$A$17:$Y$27,NeoTblTijden!O$15,FALSE),"")</f>
        <v/>
      </c>
      <c r="V7" s="106" t="str">
        <f>IF(OR($D7="1 dd",$D7="2 dd",$D7="3 dd",$D7="4 dd",$D7="5 dd",$D7="6 dd",$D7="8 dd",$D7="12 dd",$D7="24 dd",$D7="an",$D7="zn"),VLOOKUP($D7,NeoTblTijden!$A$17:$Y$27,NeoTblTijden!P$15,FALSE),"")</f>
        <v/>
      </c>
      <c r="W7" s="611" t="str">
        <f>IF(OR($D7="1 dd",$D7="2 dd",$D7="3 dd",$D7="4 dd",$D7="5 dd",$D7="6 dd",$D7="8 dd",$D7="12 dd",$D7="24 dd",$D7="an",$D7="zn"),VLOOKUP($D7,NeoTblTijden!$A$17:$Y$27,NeoTblTijden!Q$15,FALSE),"")</f>
        <v/>
      </c>
      <c r="X7" s="106" t="str">
        <f>IF(OR($D7="1 dd",$D7="2 dd",$D7="3 dd",$D7="4 dd",$D7="5 dd",$D7="6 dd",$D7="8 dd",$D7="12 dd",$D7="24 dd",$D7="an",$D7="zn"),VLOOKUP($D7,NeoTblTijden!$A$17:$Y$27,NeoTblTijden!R$15,FALSE),"")</f>
        <v/>
      </c>
      <c r="Y7" s="611" t="str">
        <f>IF(OR($D7="1 dd",$D7="2 dd",$D7="3 dd",$D7="4 dd",$D7="5 dd",$D7="6 dd",$D7="8 dd",$D7="12 dd",$D7="24 dd",$D7="an",$D7="zn"),VLOOKUP($D7,NeoTblTijden!$A$17:$Y$27,NeoTblTijden!S$15,FALSE),"")</f>
        <v/>
      </c>
      <c r="Z7" s="106" t="str">
        <f>IF(OR($D7="1 dd",$D7="2 dd",$D7="3 dd",$D7="4 dd",$D7="5 dd",$D7="6 dd",$D7="8 dd",$D7="12 dd",$D7="24 dd",$D7="an",$D7="zn"),VLOOKUP($D7,NeoTblTijden!$A$17:$Y$27,NeoTblTijden!T$15,FALSE),"")</f>
        <v/>
      </c>
      <c r="AA7" s="611" t="str">
        <f>IF(OR($D7="1 dd",$D7="2 dd",$D7="3 dd",$D7="4 dd",$D7="5 dd",$D7="6 dd",$D7="8 dd",$D7="12 dd",$D7="24 dd",$D7="an",$D7="zn"),VLOOKUP($D7,NeoTblTijden!$A$17:$Y$27,NeoTblTijden!U$15,FALSE),"")</f>
        <v/>
      </c>
      <c r="AB7" s="106" t="str">
        <f>IF(OR($D7="1 dd",$D7="2 dd",$D7="3 dd",$D7="4 dd",$D7="5 dd",$D7="6 dd",$D7="8 dd",$D7="12 dd",$D7="24 dd",$D7="an",$D7="zn"),VLOOKUP($D7,NeoTblTijden!$A$17:$Y$27,NeoTblTijden!V$15,FALSE),"")</f>
        <v/>
      </c>
      <c r="AC7" s="611" t="str">
        <f>IF(OR($D7="1 dd",$D7="2 dd",$D7="3 dd",$D7="4 dd",$D7="5 dd",$D7="6 dd",$D7="8 dd",$D7="12 dd",$D7="24 dd",$D7="an",$D7="zn"),VLOOKUP($D7,NeoTblTijden!$A$17:$Y$27,NeoTblTijden!W$15,FALSE),"")</f>
        <v/>
      </c>
      <c r="AD7" s="106" t="str">
        <f>IF(OR($D7="1 dd",$D7="2 dd",$D7="3 dd",$D7="4 dd",$D7="5 dd",$D7="6 dd",$D7="8 dd",$D7="12 dd",$D7="24 dd",$D7="an",$D7="zn"),VLOOKUP($D7,NeoTblTijden!$A$17:$Y$27,NeoTblTijden!X$15,FALSE),"")</f>
        <v/>
      </c>
      <c r="AE7" s="611" t="str">
        <f>IF(OR($D7="1 dd",$D7="2 dd",$D7="3 dd",$D7="4 dd",$D7="5 dd",$D7="6 dd",$D7="8 dd",$D7="12 dd",$D7="24 dd",$D7="an",$D7="zn"),VLOOKUP($D7,NeoTblTijden!$A$17:$Y$27,NeoTblTijden!Y$15,FALSE),"")</f>
        <v/>
      </c>
      <c r="AF7" s="105"/>
      <c r="AG7" s="17"/>
    </row>
    <row r="8" spans="1:33" ht="26.1" customHeight="1" x14ac:dyDescent="0.35">
      <c r="B8" s="107"/>
      <c r="C8" s="231" t="str">
        <f>IF(PedBerMedDisc!C7&lt;&gt;"",IF(PedBerMedDisc!C7&gt;1,TRIM(PedBerMedDisc!C7)&amp;", "&amp;GlobBerOpm!C12&amp;" ("&amp;PedBerMedDisc!M7&amp;" "&amp;PedBerMedDisc!F7&amp;"/kg/dag)",TRIM(PedBerMedDisc!C7)&amp;", "&amp;GlobBerOpm!C12),"")</f>
        <v/>
      </c>
      <c r="D8" s="232" t="str">
        <f>IF(PedGuiMedDisc!H16&lt;&gt;"",PedGuiMedDisc!H16,"")</f>
        <v/>
      </c>
      <c r="E8" s="233" t="str">
        <f>IF(AND(D8&lt;&gt;"",D8&lt;&gt;"STOP"),PedBerMedDisc!H7&amp;" "&amp;PedBerMedDisc!F7,"")</f>
        <v/>
      </c>
      <c r="F8" s="233" t="str">
        <f>IF(AND(D8&lt;&gt;"",D8&lt;&gt;"STOP"),PedBerMedDisc!L7," ")</f>
        <v xml:space="preserve"> </v>
      </c>
      <c r="G8" s="233" t="str">
        <f>IF(PedGuiMedDisc!L16&lt;&gt;"",PedGuiMedDisc!L16&amp;" "&amp;PedGuiMedDisc!M16&amp;" "&amp;INDEX(PedBerMedDisc!$B$27:$B$30,PedBerMedDisc!O7,1)&amp;" in "&amp;PedGuiMedDisc!$O$16,"")</f>
        <v/>
      </c>
      <c r="H8" s="106" t="str">
        <f>IF(OR($D8="1 dd",$D8="2 dd",$D8="3 dd",$D8="4 dd",$D8="5 dd",$D8="6 dd",$D8="8 dd",$D8="12 dd",$D8="24 dd",$D8="an",$D8="zn"),VLOOKUP($D8,NeoTblTijden!$A$17:$Y$27,NeoTblTijden!B$15,FALSE),"")</f>
        <v/>
      </c>
      <c r="I8" s="611" t="str">
        <f>IF(OR($D8="1 dd",$D8="2 dd",$D8="3 dd",$D8="4 dd",$D8="5 dd",$D8="6 dd",$D8="8 dd",$D8="12 dd",$D8="24 dd",$D8="an",$D8="zn"),VLOOKUP($D8,NeoTblTijden!$A$17:$Y$27,NeoTblTijden!C$15,FALSE),"")</f>
        <v/>
      </c>
      <c r="J8" s="106" t="str">
        <f>IF(OR($D8="1 dd",$D8="2 dd",$D8="3 dd",$D8="4 dd",$D8="5 dd",$D8="6 dd",$D8="8 dd",$D8="12 dd",$D8="24 dd",$D8="an",$D8="zn"),VLOOKUP($D8,NeoTblTijden!$A$17:$Y$27,NeoTblTijden!D$15,FALSE),"")</f>
        <v/>
      </c>
      <c r="K8" s="611" t="str">
        <f>IF(OR($D8="1 dd",$D8="2 dd",$D8="3 dd",$D8="4 dd",$D8="5 dd",$D8="6 dd",$D8="8 dd",$D8="12 dd",$D8="24 dd",$D8="an",$D8="zn"),VLOOKUP($D8,NeoTblTijden!$A$17:$Y$27,NeoTblTijden!E$15,FALSE),"")</f>
        <v/>
      </c>
      <c r="L8" s="106" t="str">
        <f>IF(OR($D8="1 dd",$D8="2 dd",$D8="3 dd",$D8="4 dd",$D8="5 dd",$D8="6 dd",$D8="8 dd",$D8="12 dd",$D8="24 dd",$D8="an",$D8="zn"),VLOOKUP($D8,NeoTblTijden!$A$17:$Y$27,NeoTblTijden!F$15,FALSE),"")</f>
        <v/>
      </c>
      <c r="M8" s="611" t="str">
        <f>IF(OR($D8="1 dd",$D8="2 dd",$D8="3 dd",$D8="4 dd",$D8="5 dd",$D8="6 dd",$D8="8 dd",$D8="12 dd",$D8="24 dd",$D8="an",$D8="zn"),VLOOKUP($D8,NeoTblTijden!$A$17:$Y$27,NeoTblTijden!G$15,FALSE),"")</f>
        <v/>
      </c>
      <c r="N8" s="106" t="str">
        <f>IF(OR($D8="1 dd",$D8="2 dd",$D8="3 dd",$D8="4 dd",$D8="5 dd",$D8="6 dd",$D8="8 dd",$D8="12 dd",$D8="24 dd",$D8="an",$D8="zn"),VLOOKUP($D8,NeoTblTijden!$A$17:$Y$27,NeoTblTijden!H$15,FALSE),"")</f>
        <v/>
      </c>
      <c r="O8" s="611" t="str">
        <f>IF(OR($D8="1 dd",$D8="2 dd",$D8="3 dd",$D8="4 dd",$D8="5 dd",$D8="6 dd",$D8="8 dd",$D8="12 dd",$D8="24 dd",$D8="an",$D8="zn"),VLOOKUP($D8,NeoTblTijden!$A$17:$Y$27,NeoTblTijden!I$15,FALSE),"")</f>
        <v/>
      </c>
      <c r="P8" s="106" t="str">
        <f>IF(OR($D8="1 dd",$D8="2 dd",$D8="3 dd",$D8="4 dd",$D8="5 dd",$D8="6 dd",$D8="8 dd",$D8="12 dd",$D8="24 dd",$D8="an",$D8="zn"),VLOOKUP($D8,NeoTblTijden!$A$17:$Y$27,NeoTblTijden!J$15,FALSE),"")</f>
        <v/>
      </c>
      <c r="Q8" s="611" t="str">
        <f>IF(OR($D8="1 dd",$D8="2 dd",$D8="3 dd",$D8="4 dd",$D8="5 dd",$D8="6 dd",$D8="8 dd",$D8="12 dd",$D8="24 dd",$D8="an",$D8="zn"),VLOOKUP($D8,NeoTblTijden!$A$17:$Y$27,NeoTblTijden!K$15,FALSE),"")</f>
        <v/>
      </c>
      <c r="R8" s="106" t="str">
        <f>IF(OR($D8="1 dd",$D8="2 dd",$D8="3 dd",$D8="4 dd",$D8="5 dd",$D8="6 dd",$D8="8 dd",$D8="12 dd",$D8="24 dd",$D8="an",$D8="zn"),VLOOKUP($D8,NeoTblTijden!$A$17:$Y$27,NeoTblTijden!L$15,FALSE),"")</f>
        <v/>
      </c>
      <c r="S8" s="611" t="str">
        <f>IF(OR($D8="1 dd",$D8="2 dd",$D8="3 dd",$D8="4 dd",$D8="5 dd",$D8="6 dd",$D8="8 dd",$D8="12 dd",$D8="24 dd",$D8="an",$D8="zn"),VLOOKUP($D8,NeoTblTijden!$A$17:$Y$27,NeoTblTijden!M$15,FALSE),"")</f>
        <v/>
      </c>
      <c r="T8" s="106" t="str">
        <f>IF(OR($D8="1 dd",$D8="2 dd",$D8="3 dd",$D8="4 dd",$D8="5 dd",$D8="6 dd",$D8="8 dd",$D8="12 dd",$D8="24 dd",$D8="an",$D8="zn"),VLOOKUP($D8,NeoTblTijden!$A$17:$Y$27,NeoTblTijden!N$15,FALSE),"")</f>
        <v/>
      </c>
      <c r="U8" s="611" t="str">
        <f>IF(OR($D8="1 dd",$D8="2 dd",$D8="3 dd",$D8="4 dd",$D8="5 dd",$D8="6 dd",$D8="8 dd",$D8="12 dd",$D8="24 dd",$D8="an",$D8="zn"),VLOOKUP($D8,NeoTblTijden!$A$17:$Y$27,NeoTblTijden!O$15,FALSE),"")</f>
        <v/>
      </c>
      <c r="V8" s="106" t="str">
        <f>IF(OR($D8="1 dd",$D8="2 dd",$D8="3 dd",$D8="4 dd",$D8="5 dd",$D8="6 dd",$D8="8 dd",$D8="12 dd",$D8="24 dd",$D8="an",$D8="zn"),VLOOKUP($D8,NeoTblTijden!$A$17:$Y$27,NeoTblTijden!P$15,FALSE),"")</f>
        <v/>
      </c>
      <c r="W8" s="611" t="str">
        <f>IF(OR($D8="1 dd",$D8="2 dd",$D8="3 dd",$D8="4 dd",$D8="5 dd",$D8="6 dd",$D8="8 dd",$D8="12 dd",$D8="24 dd",$D8="an",$D8="zn"),VLOOKUP($D8,NeoTblTijden!$A$17:$Y$27,NeoTblTijden!Q$15,FALSE),"")</f>
        <v/>
      </c>
      <c r="X8" s="106" t="str">
        <f>IF(OR($D8="1 dd",$D8="2 dd",$D8="3 dd",$D8="4 dd",$D8="5 dd",$D8="6 dd",$D8="8 dd",$D8="12 dd",$D8="24 dd",$D8="an",$D8="zn"),VLOOKUP($D8,NeoTblTijden!$A$17:$Y$27,NeoTblTijden!R$15,FALSE),"")</f>
        <v/>
      </c>
      <c r="Y8" s="611" t="str">
        <f>IF(OR($D8="1 dd",$D8="2 dd",$D8="3 dd",$D8="4 dd",$D8="5 dd",$D8="6 dd",$D8="8 dd",$D8="12 dd",$D8="24 dd",$D8="an",$D8="zn"),VLOOKUP($D8,NeoTblTijden!$A$17:$Y$27,NeoTblTijden!S$15,FALSE),"")</f>
        <v/>
      </c>
      <c r="Z8" s="106" t="str">
        <f>IF(OR($D8="1 dd",$D8="2 dd",$D8="3 dd",$D8="4 dd",$D8="5 dd",$D8="6 dd",$D8="8 dd",$D8="12 dd",$D8="24 dd",$D8="an",$D8="zn"),VLOOKUP($D8,NeoTblTijden!$A$17:$Y$27,NeoTblTijden!T$15,FALSE),"")</f>
        <v/>
      </c>
      <c r="AA8" s="611" t="str">
        <f>IF(OR($D8="1 dd",$D8="2 dd",$D8="3 dd",$D8="4 dd",$D8="5 dd",$D8="6 dd",$D8="8 dd",$D8="12 dd",$D8="24 dd",$D8="an",$D8="zn"),VLOOKUP($D8,NeoTblTijden!$A$17:$Y$27,NeoTblTijden!U$15,FALSE),"")</f>
        <v/>
      </c>
      <c r="AB8" s="106" t="str">
        <f>IF(OR($D8="1 dd",$D8="2 dd",$D8="3 dd",$D8="4 dd",$D8="5 dd",$D8="6 dd",$D8="8 dd",$D8="12 dd",$D8="24 dd",$D8="an",$D8="zn"),VLOOKUP($D8,NeoTblTijden!$A$17:$Y$27,NeoTblTijden!V$15,FALSE),"")</f>
        <v/>
      </c>
      <c r="AC8" s="611" t="str">
        <f>IF(OR($D8="1 dd",$D8="2 dd",$D8="3 dd",$D8="4 dd",$D8="5 dd",$D8="6 dd",$D8="8 dd",$D8="12 dd",$D8="24 dd",$D8="an",$D8="zn"),VLOOKUP($D8,NeoTblTijden!$A$17:$Y$27,NeoTblTijden!W$15,FALSE),"")</f>
        <v/>
      </c>
      <c r="AD8" s="106" t="str">
        <f>IF(OR($D8="1 dd",$D8="2 dd",$D8="3 dd",$D8="4 dd",$D8="5 dd",$D8="6 dd",$D8="8 dd",$D8="12 dd",$D8="24 dd",$D8="an",$D8="zn"),VLOOKUP($D8,NeoTblTijden!$A$17:$Y$27,NeoTblTijden!X$15,FALSE),"")</f>
        <v/>
      </c>
      <c r="AE8" s="611" t="str">
        <f>IF(OR($D8="1 dd",$D8="2 dd",$D8="3 dd",$D8="4 dd",$D8="5 dd",$D8="6 dd",$D8="8 dd",$D8="12 dd",$D8="24 dd",$D8="an",$D8="zn"),VLOOKUP($D8,NeoTblTijden!$A$17:$Y$27,NeoTblTijden!Y$15,FALSE),"")</f>
        <v/>
      </c>
      <c r="AF8" s="105"/>
      <c r="AG8" s="17"/>
    </row>
    <row r="9" spans="1:33" ht="26.1" customHeight="1" x14ac:dyDescent="0.35">
      <c r="B9" s="107"/>
      <c r="C9" s="231" t="str">
        <f>IF(PedBerMedDisc!C8&lt;&gt;"",IF(PedBerMedDisc!C8&gt;1,TRIM(PedBerMedDisc!C8)&amp;", "&amp;GlobBerOpm!C13&amp;" ("&amp;PedBerMedDisc!M8&amp;" "&amp;PedBerMedDisc!F8&amp;"/kg/dag)",TRIM(PedBerMedDisc!C8)&amp;", "&amp;GlobBerOpm!C13),"")</f>
        <v/>
      </c>
      <c r="D9" s="232" t="str">
        <f>IF(PedGuiMedDisc!H18&lt;&gt;"",PedGuiMedDisc!H18,"")</f>
        <v/>
      </c>
      <c r="E9" s="233" t="str">
        <f>IF(AND(D9&lt;&gt;"",D9&lt;&gt;"STOP"),PedBerMedDisc!H8&amp;" "&amp;PedBerMedDisc!F8,"")</f>
        <v/>
      </c>
      <c r="F9" s="233" t="str">
        <f>IF(AND(D9&lt;&gt;"",D9&lt;&gt;"STOP"),PedBerMedDisc!L8," ")</f>
        <v xml:space="preserve"> </v>
      </c>
      <c r="G9" s="233" t="str">
        <f>IF(PedGuiMedDisc!L18&lt;&gt;"",PedGuiMedDisc!L18&amp;" "&amp;PedGuiMedDisc!M18&amp;" "&amp;INDEX(PedBerMedDisc!$B$27:$B$30,PedBerMedDisc!O8,1)&amp;" in "&amp;PedGuiMedDisc!$O$18,"")</f>
        <v/>
      </c>
      <c r="H9" s="106" t="str">
        <f>IF(OR($D9="1 dd",$D9="2 dd",$D9="3 dd",$D9="4 dd",$D9="5 dd",$D9="6 dd",$D9="8 dd",$D9="12 dd",$D9="24 dd",$D9="an",$D9="zn"),VLOOKUP($D9,NeoTblTijden!$A$17:$Y$27,NeoTblTijden!B$15,FALSE),"")</f>
        <v/>
      </c>
      <c r="I9" s="611" t="str">
        <f>IF(OR($D9="1 dd",$D9="2 dd",$D9="3 dd",$D9="4 dd",$D9="5 dd",$D9="6 dd",$D9="8 dd",$D9="12 dd",$D9="24 dd",$D9="an",$D9="zn"),VLOOKUP($D9,NeoTblTijden!$A$17:$Y$27,NeoTblTijden!C$15,FALSE),"")</f>
        <v/>
      </c>
      <c r="J9" s="106" t="str">
        <f>IF(OR($D9="1 dd",$D9="2 dd",$D9="3 dd",$D9="4 dd",$D9="5 dd",$D9="6 dd",$D9="8 dd",$D9="12 dd",$D9="24 dd",$D9="an",$D9="zn"),VLOOKUP($D9,NeoTblTijden!$A$17:$Y$27,NeoTblTijden!D$15,FALSE),"")</f>
        <v/>
      </c>
      <c r="K9" s="611" t="str">
        <f>IF(OR($D9="1 dd",$D9="2 dd",$D9="3 dd",$D9="4 dd",$D9="5 dd",$D9="6 dd",$D9="8 dd",$D9="12 dd",$D9="24 dd",$D9="an",$D9="zn"),VLOOKUP($D9,NeoTblTijden!$A$17:$Y$27,NeoTblTijden!E$15,FALSE),"")</f>
        <v/>
      </c>
      <c r="L9" s="106" t="str">
        <f>IF(OR($D9="1 dd",$D9="2 dd",$D9="3 dd",$D9="4 dd",$D9="5 dd",$D9="6 dd",$D9="8 dd",$D9="12 dd",$D9="24 dd",$D9="an",$D9="zn"),VLOOKUP($D9,NeoTblTijden!$A$17:$Y$27,NeoTblTijden!F$15,FALSE),"")</f>
        <v/>
      </c>
      <c r="M9" s="611" t="str">
        <f>IF(OR($D9="1 dd",$D9="2 dd",$D9="3 dd",$D9="4 dd",$D9="5 dd",$D9="6 dd",$D9="8 dd",$D9="12 dd",$D9="24 dd",$D9="an",$D9="zn"),VLOOKUP($D9,NeoTblTijden!$A$17:$Y$27,NeoTblTijden!G$15,FALSE),"")</f>
        <v/>
      </c>
      <c r="N9" s="106" t="str">
        <f>IF(OR($D9="1 dd",$D9="2 dd",$D9="3 dd",$D9="4 dd",$D9="5 dd",$D9="6 dd",$D9="8 dd",$D9="12 dd",$D9="24 dd",$D9="an",$D9="zn"),VLOOKUP($D9,NeoTblTijden!$A$17:$Y$27,NeoTblTijden!H$15,FALSE),"")</f>
        <v/>
      </c>
      <c r="O9" s="611" t="str">
        <f>IF(OR($D9="1 dd",$D9="2 dd",$D9="3 dd",$D9="4 dd",$D9="5 dd",$D9="6 dd",$D9="8 dd",$D9="12 dd",$D9="24 dd",$D9="an",$D9="zn"),VLOOKUP($D9,NeoTblTijden!$A$17:$Y$27,NeoTblTijden!I$15,FALSE),"")</f>
        <v/>
      </c>
      <c r="P9" s="106" t="str">
        <f>IF(OR($D9="1 dd",$D9="2 dd",$D9="3 dd",$D9="4 dd",$D9="5 dd",$D9="6 dd",$D9="8 dd",$D9="12 dd",$D9="24 dd",$D9="an",$D9="zn"),VLOOKUP($D9,NeoTblTijden!$A$17:$Y$27,NeoTblTijden!J$15,FALSE),"")</f>
        <v/>
      </c>
      <c r="Q9" s="611" t="str">
        <f>IF(OR($D9="1 dd",$D9="2 dd",$D9="3 dd",$D9="4 dd",$D9="5 dd",$D9="6 dd",$D9="8 dd",$D9="12 dd",$D9="24 dd",$D9="an",$D9="zn"),VLOOKUP($D9,NeoTblTijden!$A$17:$Y$27,NeoTblTijden!K$15,FALSE),"")</f>
        <v/>
      </c>
      <c r="R9" s="106" t="str">
        <f>IF(OR($D9="1 dd",$D9="2 dd",$D9="3 dd",$D9="4 dd",$D9="5 dd",$D9="6 dd",$D9="8 dd",$D9="12 dd",$D9="24 dd",$D9="an",$D9="zn"),VLOOKUP($D9,NeoTblTijden!$A$17:$Y$27,NeoTblTijden!L$15,FALSE),"")</f>
        <v/>
      </c>
      <c r="S9" s="611" t="str">
        <f>IF(OR($D9="1 dd",$D9="2 dd",$D9="3 dd",$D9="4 dd",$D9="5 dd",$D9="6 dd",$D9="8 dd",$D9="12 dd",$D9="24 dd",$D9="an",$D9="zn"),VLOOKUP($D9,NeoTblTijden!$A$17:$Y$27,NeoTblTijden!M$15,FALSE),"")</f>
        <v/>
      </c>
      <c r="T9" s="106" t="str">
        <f>IF(OR($D9="1 dd",$D9="2 dd",$D9="3 dd",$D9="4 dd",$D9="5 dd",$D9="6 dd",$D9="8 dd",$D9="12 dd",$D9="24 dd",$D9="an",$D9="zn"),VLOOKUP($D9,NeoTblTijden!$A$17:$Y$27,NeoTblTijden!N$15,FALSE),"")</f>
        <v/>
      </c>
      <c r="U9" s="611" t="str">
        <f>IF(OR($D9="1 dd",$D9="2 dd",$D9="3 dd",$D9="4 dd",$D9="5 dd",$D9="6 dd",$D9="8 dd",$D9="12 dd",$D9="24 dd",$D9="an",$D9="zn"),VLOOKUP($D9,NeoTblTijden!$A$17:$Y$27,NeoTblTijden!O$15,FALSE),"")</f>
        <v/>
      </c>
      <c r="V9" s="106" t="str">
        <f>IF(OR($D9="1 dd",$D9="2 dd",$D9="3 dd",$D9="4 dd",$D9="5 dd",$D9="6 dd",$D9="8 dd",$D9="12 dd",$D9="24 dd",$D9="an",$D9="zn"),VLOOKUP($D9,NeoTblTijden!$A$17:$Y$27,NeoTblTijden!P$15,FALSE),"")</f>
        <v/>
      </c>
      <c r="W9" s="611" t="str">
        <f>IF(OR($D9="1 dd",$D9="2 dd",$D9="3 dd",$D9="4 dd",$D9="5 dd",$D9="6 dd",$D9="8 dd",$D9="12 dd",$D9="24 dd",$D9="an",$D9="zn"),VLOOKUP($D9,NeoTblTijden!$A$17:$Y$27,NeoTblTijden!Q$15,FALSE),"")</f>
        <v/>
      </c>
      <c r="X9" s="106" t="str">
        <f>IF(OR($D9="1 dd",$D9="2 dd",$D9="3 dd",$D9="4 dd",$D9="5 dd",$D9="6 dd",$D9="8 dd",$D9="12 dd",$D9="24 dd",$D9="an",$D9="zn"),VLOOKUP($D9,NeoTblTijden!$A$17:$Y$27,NeoTblTijden!R$15,FALSE),"")</f>
        <v/>
      </c>
      <c r="Y9" s="611" t="str">
        <f>IF(OR($D9="1 dd",$D9="2 dd",$D9="3 dd",$D9="4 dd",$D9="5 dd",$D9="6 dd",$D9="8 dd",$D9="12 dd",$D9="24 dd",$D9="an",$D9="zn"),VLOOKUP($D9,NeoTblTijden!$A$17:$Y$27,NeoTblTijden!S$15,FALSE),"")</f>
        <v/>
      </c>
      <c r="Z9" s="106" t="str">
        <f>IF(OR($D9="1 dd",$D9="2 dd",$D9="3 dd",$D9="4 dd",$D9="5 dd",$D9="6 dd",$D9="8 dd",$D9="12 dd",$D9="24 dd",$D9="an",$D9="zn"),VLOOKUP($D9,NeoTblTijden!$A$17:$Y$27,NeoTblTijden!T$15,FALSE),"")</f>
        <v/>
      </c>
      <c r="AA9" s="611" t="str">
        <f>IF(OR($D9="1 dd",$D9="2 dd",$D9="3 dd",$D9="4 dd",$D9="5 dd",$D9="6 dd",$D9="8 dd",$D9="12 dd",$D9="24 dd",$D9="an",$D9="zn"),VLOOKUP($D9,NeoTblTijden!$A$17:$Y$27,NeoTblTijden!U$15,FALSE),"")</f>
        <v/>
      </c>
      <c r="AB9" s="106" t="str">
        <f>IF(OR($D9="1 dd",$D9="2 dd",$D9="3 dd",$D9="4 dd",$D9="5 dd",$D9="6 dd",$D9="8 dd",$D9="12 dd",$D9="24 dd",$D9="an",$D9="zn"),VLOOKUP($D9,NeoTblTijden!$A$17:$Y$27,NeoTblTijden!V$15,FALSE),"")</f>
        <v/>
      </c>
      <c r="AC9" s="611" t="str">
        <f>IF(OR($D9="1 dd",$D9="2 dd",$D9="3 dd",$D9="4 dd",$D9="5 dd",$D9="6 dd",$D9="8 dd",$D9="12 dd",$D9="24 dd",$D9="an",$D9="zn"),VLOOKUP($D9,NeoTblTijden!$A$17:$Y$27,NeoTblTijden!W$15,FALSE),"")</f>
        <v/>
      </c>
      <c r="AD9" s="106" t="str">
        <f>IF(OR($D9="1 dd",$D9="2 dd",$D9="3 dd",$D9="4 dd",$D9="5 dd",$D9="6 dd",$D9="8 dd",$D9="12 dd",$D9="24 dd",$D9="an",$D9="zn"),VLOOKUP($D9,NeoTblTijden!$A$17:$Y$27,NeoTblTijden!X$15,FALSE),"")</f>
        <v/>
      </c>
      <c r="AE9" s="611" t="str">
        <f>IF(OR($D9="1 dd",$D9="2 dd",$D9="3 dd",$D9="4 dd",$D9="5 dd",$D9="6 dd",$D9="8 dd",$D9="12 dd",$D9="24 dd",$D9="an",$D9="zn"),VLOOKUP($D9,NeoTblTijden!$A$17:$Y$27,NeoTblTijden!Y$15,FALSE),"")</f>
        <v/>
      </c>
      <c r="AF9" s="105"/>
      <c r="AG9" s="17"/>
    </row>
    <row r="10" spans="1:33" ht="26.1" customHeight="1" x14ac:dyDescent="0.35">
      <c r="B10" s="107"/>
      <c r="C10" s="231" t="str">
        <f>IF(PedBerMedDisc!C9&lt;&gt;"",IF(PedBerMedDisc!C9&gt;1,TRIM(PedBerMedDisc!C9)&amp;", "&amp;GlobBerOpm!C14&amp;" ("&amp;PedBerMedDisc!M9&amp;" "&amp;PedBerMedDisc!F9&amp;"/kg/dag)",TRIM(PedBerMedDisc!C9)&amp;", "&amp;GlobBerOpm!C14),"")</f>
        <v/>
      </c>
      <c r="D10" s="232" t="str">
        <f>IF(PedGuiMedDisc!H20&lt;&gt;"",PedGuiMedDisc!H20,"")</f>
        <v/>
      </c>
      <c r="E10" s="233" t="str">
        <f>IF(AND(D10&lt;&gt;"",D10&lt;&gt;"STOP"),PedBerMedDisc!H9&amp;" "&amp;PedBerMedDisc!F9,"")</f>
        <v/>
      </c>
      <c r="F10" s="233" t="str">
        <f>IF(AND(D10&lt;&gt;"",D10&lt;&gt;"STOP"),PedBerMedDisc!L9," ")</f>
        <v xml:space="preserve"> </v>
      </c>
      <c r="G10" s="233" t="str">
        <f>IF(PedGuiMedDisc!L20&lt;&gt;"",PedGuiMedDisc!L20&amp;" "&amp;PedGuiMedDisc!M20&amp;" "&amp;INDEX(PedBerMedDisc!$B$27:$B$30,PedBerMedDisc!O9,1)&amp;" in "&amp;PedGuiMedDisc!$O$20,"")</f>
        <v/>
      </c>
      <c r="H10" s="106" t="str">
        <f>IF(OR($D10="1 dd",$D10="2 dd",$D10="3 dd",$D10="4 dd",$D10="5 dd",$D10="6 dd",$D10="8 dd",$D10="12 dd",$D10="24 dd",$D10="an",$D10="zn"),VLOOKUP($D10,NeoTblTijden!$A$17:$Y$27,NeoTblTijden!B$15,FALSE),"")</f>
        <v/>
      </c>
      <c r="I10" s="611" t="str">
        <f>IF(OR($D10="1 dd",$D10="2 dd",$D10="3 dd",$D10="4 dd",$D10="5 dd",$D10="6 dd",$D10="8 dd",$D10="12 dd",$D10="24 dd",$D10="an",$D10="zn"),VLOOKUP($D10,NeoTblTijden!$A$17:$Y$27,NeoTblTijden!C$15,FALSE),"")</f>
        <v/>
      </c>
      <c r="J10" s="106" t="str">
        <f>IF(OR($D10="1 dd",$D10="2 dd",$D10="3 dd",$D10="4 dd",$D10="5 dd",$D10="6 dd",$D10="8 dd",$D10="12 dd",$D10="24 dd",$D10="an",$D10="zn"),VLOOKUP($D10,NeoTblTijden!$A$17:$Y$27,NeoTblTijden!D$15,FALSE),"")</f>
        <v/>
      </c>
      <c r="K10" s="611" t="str">
        <f>IF(OR($D10="1 dd",$D10="2 dd",$D10="3 dd",$D10="4 dd",$D10="5 dd",$D10="6 dd",$D10="8 dd",$D10="12 dd",$D10="24 dd",$D10="an",$D10="zn"),VLOOKUP($D10,NeoTblTijden!$A$17:$Y$27,NeoTblTijden!E$15,FALSE),"")</f>
        <v/>
      </c>
      <c r="L10" s="106" t="str">
        <f>IF(OR($D10="1 dd",$D10="2 dd",$D10="3 dd",$D10="4 dd",$D10="5 dd",$D10="6 dd",$D10="8 dd",$D10="12 dd",$D10="24 dd",$D10="an",$D10="zn"),VLOOKUP($D10,NeoTblTijden!$A$17:$Y$27,NeoTblTijden!F$15,FALSE),"")</f>
        <v/>
      </c>
      <c r="M10" s="611" t="str">
        <f>IF(OR($D10="1 dd",$D10="2 dd",$D10="3 dd",$D10="4 dd",$D10="5 dd",$D10="6 dd",$D10="8 dd",$D10="12 dd",$D10="24 dd",$D10="an",$D10="zn"),VLOOKUP($D10,NeoTblTijden!$A$17:$Y$27,NeoTblTijden!G$15,FALSE),"")</f>
        <v/>
      </c>
      <c r="N10" s="106" t="str">
        <f>IF(OR($D10="1 dd",$D10="2 dd",$D10="3 dd",$D10="4 dd",$D10="5 dd",$D10="6 dd",$D10="8 dd",$D10="12 dd",$D10="24 dd",$D10="an",$D10="zn"),VLOOKUP($D10,NeoTblTijden!$A$17:$Y$27,NeoTblTijden!H$15,FALSE),"")</f>
        <v/>
      </c>
      <c r="O10" s="611" t="str">
        <f>IF(OR($D10="1 dd",$D10="2 dd",$D10="3 dd",$D10="4 dd",$D10="5 dd",$D10="6 dd",$D10="8 dd",$D10="12 dd",$D10="24 dd",$D10="an",$D10="zn"),VLOOKUP($D10,NeoTblTijden!$A$17:$Y$27,NeoTblTijden!I$15,FALSE),"")</f>
        <v/>
      </c>
      <c r="P10" s="106" t="str">
        <f>IF(OR($D10="1 dd",$D10="2 dd",$D10="3 dd",$D10="4 dd",$D10="5 dd",$D10="6 dd",$D10="8 dd",$D10="12 dd",$D10="24 dd",$D10="an",$D10="zn"),VLOOKUP($D10,NeoTblTijden!$A$17:$Y$27,NeoTblTijden!J$15,FALSE),"")</f>
        <v/>
      </c>
      <c r="Q10" s="611" t="str">
        <f>IF(OR($D10="1 dd",$D10="2 dd",$D10="3 dd",$D10="4 dd",$D10="5 dd",$D10="6 dd",$D10="8 dd",$D10="12 dd",$D10="24 dd",$D10="an",$D10="zn"),VLOOKUP($D10,NeoTblTijden!$A$17:$Y$27,NeoTblTijden!K$15,FALSE),"")</f>
        <v/>
      </c>
      <c r="R10" s="106" t="str">
        <f>IF(OR($D10="1 dd",$D10="2 dd",$D10="3 dd",$D10="4 dd",$D10="5 dd",$D10="6 dd",$D10="8 dd",$D10="12 dd",$D10="24 dd",$D10="an",$D10="zn"),VLOOKUP($D10,NeoTblTijden!$A$17:$Y$27,NeoTblTijden!L$15,FALSE),"")</f>
        <v/>
      </c>
      <c r="S10" s="611" t="str">
        <f>IF(OR($D10="1 dd",$D10="2 dd",$D10="3 dd",$D10="4 dd",$D10="5 dd",$D10="6 dd",$D10="8 dd",$D10="12 dd",$D10="24 dd",$D10="an",$D10="zn"),VLOOKUP($D10,NeoTblTijden!$A$17:$Y$27,NeoTblTijden!M$15,FALSE),"")</f>
        <v/>
      </c>
      <c r="T10" s="106" t="str">
        <f>IF(OR($D10="1 dd",$D10="2 dd",$D10="3 dd",$D10="4 dd",$D10="5 dd",$D10="6 dd",$D10="8 dd",$D10="12 dd",$D10="24 dd",$D10="an",$D10="zn"),VLOOKUP($D10,NeoTblTijden!$A$17:$Y$27,NeoTblTijden!N$15,FALSE),"")</f>
        <v/>
      </c>
      <c r="U10" s="611" t="str">
        <f>IF(OR($D10="1 dd",$D10="2 dd",$D10="3 dd",$D10="4 dd",$D10="5 dd",$D10="6 dd",$D10="8 dd",$D10="12 dd",$D10="24 dd",$D10="an",$D10="zn"),VLOOKUP($D10,NeoTblTijden!$A$17:$Y$27,NeoTblTijden!O$15,FALSE),"")</f>
        <v/>
      </c>
      <c r="V10" s="106" t="str">
        <f>IF(OR($D10="1 dd",$D10="2 dd",$D10="3 dd",$D10="4 dd",$D10="5 dd",$D10="6 dd",$D10="8 dd",$D10="12 dd",$D10="24 dd",$D10="an",$D10="zn"),VLOOKUP($D10,NeoTblTijden!$A$17:$Y$27,NeoTblTijden!P$15,FALSE),"")</f>
        <v/>
      </c>
      <c r="W10" s="611" t="str">
        <f>IF(OR($D10="1 dd",$D10="2 dd",$D10="3 dd",$D10="4 dd",$D10="5 dd",$D10="6 dd",$D10="8 dd",$D10="12 dd",$D10="24 dd",$D10="an",$D10="zn"),VLOOKUP($D10,NeoTblTijden!$A$17:$Y$27,NeoTblTijden!Q$15,FALSE),"")</f>
        <v/>
      </c>
      <c r="X10" s="106" t="str">
        <f>IF(OR($D10="1 dd",$D10="2 dd",$D10="3 dd",$D10="4 dd",$D10="5 dd",$D10="6 dd",$D10="8 dd",$D10="12 dd",$D10="24 dd",$D10="an",$D10="zn"),VLOOKUP($D10,NeoTblTijden!$A$17:$Y$27,NeoTblTijden!R$15,FALSE),"")</f>
        <v/>
      </c>
      <c r="Y10" s="611" t="str">
        <f>IF(OR($D10="1 dd",$D10="2 dd",$D10="3 dd",$D10="4 dd",$D10="5 dd",$D10="6 dd",$D10="8 dd",$D10="12 dd",$D10="24 dd",$D10="an",$D10="zn"),VLOOKUP($D10,NeoTblTijden!$A$17:$Y$27,NeoTblTijden!S$15,FALSE),"")</f>
        <v/>
      </c>
      <c r="Z10" s="106" t="str">
        <f>IF(OR($D10="1 dd",$D10="2 dd",$D10="3 dd",$D10="4 dd",$D10="5 dd",$D10="6 dd",$D10="8 dd",$D10="12 dd",$D10="24 dd",$D10="an",$D10="zn"),VLOOKUP($D10,NeoTblTijden!$A$17:$Y$27,NeoTblTijden!T$15,FALSE),"")</f>
        <v/>
      </c>
      <c r="AA10" s="611" t="str">
        <f>IF(OR($D10="1 dd",$D10="2 dd",$D10="3 dd",$D10="4 dd",$D10="5 dd",$D10="6 dd",$D10="8 dd",$D10="12 dd",$D10="24 dd",$D10="an",$D10="zn"),VLOOKUP($D10,NeoTblTijden!$A$17:$Y$27,NeoTblTijden!U$15,FALSE),"")</f>
        <v/>
      </c>
      <c r="AB10" s="106" t="str">
        <f>IF(OR($D10="1 dd",$D10="2 dd",$D10="3 dd",$D10="4 dd",$D10="5 dd",$D10="6 dd",$D10="8 dd",$D10="12 dd",$D10="24 dd",$D10="an",$D10="zn"),VLOOKUP($D10,NeoTblTijden!$A$17:$Y$27,NeoTblTijden!V$15,FALSE),"")</f>
        <v/>
      </c>
      <c r="AC10" s="611" t="str">
        <f>IF(OR($D10="1 dd",$D10="2 dd",$D10="3 dd",$D10="4 dd",$D10="5 dd",$D10="6 dd",$D10="8 dd",$D10="12 dd",$D10="24 dd",$D10="an",$D10="zn"),VLOOKUP($D10,NeoTblTijden!$A$17:$Y$27,NeoTblTijden!W$15,FALSE),"")</f>
        <v/>
      </c>
      <c r="AD10" s="106" t="str">
        <f>IF(OR($D10="1 dd",$D10="2 dd",$D10="3 dd",$D10="4 dd",$D10="5 dd",$D10="6 dd",$D10="8 dd",$D10="12 dd",$D10="24 dd",$D10="an",$D10="zn"),VLOOKUP($D10,NeoTblTijden!$A$17:$Y$27,NeoTblTijden!X$15,FALSE),"")</f>
        <v/>
      </c>
      <c r="AE10" s="611" t="str">
        <f>IF(OR($D10="1 dd",$D10="2 dd",$D10="3 dd",$D10="4 dd",$D10="5 dd",$D10="6 dd",$D10="8 dd",$D10="12 dd",$D10="24 dd",$D10="an",$D10="zn"),VLOOKUP($D10,NeoTblTijden!$A$17:$Y$27,NeoTblTijden!Y$15,FALSE),"")</f>
        <v/>
      </c>
      <c r="AF10" s="105"/>
      <c r="AG10" s="17"/>
    </row>
    <row r="11" spans="1:33" ht="26.1" customHeight="1" x14ac:dyDescent="0.35">
      <c r="B11" s="107"/>
      <c r="C11" s="231" t="str">
        <f>IF(PedBerMedDisc!C10&lt;&gt;"",IF(PedBerMedDisc!C10&gt;1,TRIM(PedBerMedDisc!C10)&amp;", "&amp;GlobBerOpm!C15&amp;" ("&amp;PedBerMedDisc!M10&amp;" "&amp;PedBerMedDisc!F10&amp;"/kg/dag)",TRIM(PedBerMedDisc!C10)&amp;", "&amp;GlobBerOpm!C15),"")</f>
        <v/>
      </c>
      <c r="D11" s="232" t="str">
        <f>IF(PedGuiMedDisc!H22&lt;&gt;"",PedGuiMedDisc!H22,"")</f>
        <v/>
      </c>
      <c r="E11" s="233" t="str">
        <f>IF(AND(D11&lt;&gt;"",D11&lt;&gt;"STOP"),PedBerMedDisc!H10&amp;" "&amp;PedBerMedDisc!F10,"")</f>
        <v/>
      </c>
      <c r="F11" s="233" t="str">
        <f>IF(AND(D11&lt;&gt;"",D11&lt;&gt;"STOP"),PedBerMedDisc!L10," ")</f>
        <v xml:space="preserve"> </v>
      </c>
      <c r="G11" s="233" t="str">
        <f>IF(PedGuiMedDisc!L22&lt;&gt;"",PedGuiMedDisc!L22&amp;" "&amp;PedGuiMedDisc!M22&amp;" "&amp;INDEX(PedBerMedDisc!$B$27:$B$30,PedBerMedDisc!O10,1)&amp;" in "&amp;PedGuiMedDisc!$O$22,"")</f>
        <v/>
      </c>
      <c r="H11" s="106" t="str">
        <f>IF(OR($D11="1 dd",$D11="2 dd",$D11="3 dd",$D11="4 dd",$D11="5 dd",$D11="6 dd",$D11="8 dd",$D11="12 dd",$D11="24 dd",$D11="an",$D11="zn"),VLOOKUP($D11,NeoTblTijden!$A$17:$Y$27,NeoTblTijden!B$15,FALSE),"")</f>
        <v/>
      </c>
      <c r="I11" s="611" t="str">
        <f>IF(OR($D11="1 dd",$D11="2 dd",$D11="3 dd",$D11="4 dd",$D11="5 dd",$D11="6 dd",$D11="8 dd",$D11="12 dd",$D11="24 dd",$D11="an",$D11="zn"),VLOOKUP($D11,NeoTblTijden!$A$17:$Y$27,NeoTblTijden!C$15,FALSE),"")</f>
        <v/>
      </c>
      <c r="J11" s="106" t="str">
        <f>IF(OR($D11="1 dd",$D11="2 dd",$D11="3 dd",$D11="4 dd",$D11="5 dd",$D11="6 dd",$D11="8 dd",$D11="12 dd",$D11="24 dd",$D11="an",$D11="zn"),VLOOKUP($D11,NeoTblTijden!$A$17:$Y$27,NeoTblTijden!D$15,FALSE),"")</f>
        <v/>
      </c>
      <c r="K11" s="611" t="str">
        <f>IF(OR($D11="1 dd",$D11="2 dd",$D11="3 dd",$D11="4 dd",$D11="5 dd",$D11="6 dd",$D11="8 dd",$D11="12 dd",$D11="24 dd",$D11="an",$D11="zn"),VLOOKUP($D11,NeoTblTijden!$A$17:$Y$27,NeoTblTijden!E$15,FALSE),"")</f>
        <v/>
      </c>
      <c r="L11" s="106" t="str">
        <f>IF(OR($D11="1 dd",$D11="2 dd",$D11="3 dd",$D11="4 dd",$D11="5 dd",$D11="6 dd",$D11="8 dd",$D11="12 dd",$D11="24 dd",$D11="an",$D11="zn"),VLOOKUP($D11,NeoTblTijden!$A$17:$Y$27,NeoTblTijden!F$15,FALSE),"")</f>
        <v/>
      </c>
      <c r="M11" s="611" t="str">
        <f>IF(OR($D11="1 dd",$D11="2 dd",$D11="3 dd",$D11="4 dd",$D11="5 dd",$D11="6 dd",$D11="8 dd",$D11="12 dd",$D11="24 dd",$D11="an",$D11="zn"),VLOOKUP($D11,NeoTblTijden!$A$17:$Y$27,NeoTblTijden!G$15,FALSE),"")</f>
        <v/>
      </c>
      <c r="N11" s="106" t="str">
        <f>IF(OR($D11="1 dd",$D11="2 dd",$D11="3 dd",$D11="4 dd",$D11="5 dd",$D11="6 dd",$D11="8 dd",$D11="12 dd",$D11="24 dd",$D11="an",$D11="zn"),VLOOKUP($D11,NeoTblTijden!$A$17:$Y$27,NeoTblTijden!H$15,FALSE),"")</f>
        <v/>
      </c>
      <c r="O11" s="611" t="str">
        <f>IF(OR($D11="1 dd",$D11="2 dd",$D11="3 dd",$D11="4 dd",$D11="5 dd",$D11="6 dd",$D11="8 dd",$D11="12 dd",$D11="24 dd",$D11="an",$D11="zn"),VLOOKUP($D11,NeoTblTijden!$A$17:$Y$27,NeoTblTijden!I$15,FALSE),"")</f>
        <v/>
      </c>
      <c r="P11" s="106" t="str">
        <f>IF(OR($D11="1 dd",$D11="2 dd",$D11="3 dd",$D11="4 dd",$D11="5 dd",$D11="6 dd",$D11="8 dd",$D11="12 dd",$D11="24 dd",$D11="an",$D11="zn"),VLOOKUP($D11,NeoTblTijden!$A$17:$Y$27,NeoTblTijden!J$15,FALSE),"")</f>
        <v/>
      </c>
      <c r="Q11" s="611" t="str">
        <f>IF(OR($D11="1 dd",$D11="2 dd",$D11="3 dd",$D11="4 dd",$D11="5 dd",$D11="6 dd",$D11="8 dd",$D11="12 dd",$D11="24 dd",$D11="an",$D11="zn"),VLOOKUP($D11,NeoTblTijden!$A$17:$Y$27,NeoTblTijden!K$15,FALSE),"")</f>
        <v/>
      </c>
      <c r="R11" s="106" t="str">
        <f>IF(OR($D11="1 dd",$D11="2 dd",$D11="3 dd",$D11="4 dd",$D11="5 dd",$D11="6 dd",$D11="8 dd",$D11="12 dd",$D11="24 dd",$D11="an",$D11="zn"),VLOOKUP($D11,NeoTblTijden!$A$17:$Y$27,NeoTblTijden!L$15,FALSE),"")</f>
        <v/>
      </c>
      <c r="S11" s="611" t="str">
        <f>IF(OR($D11="1 dd",$D11="2 dd",$D11="3 dd",$D11="4 dd",$D11="5 dd",$D11="6 dd",$D11="8 dd",$D11="12 dd",$D11="24 dd",$D11="an",$D11="zn"),VLOOKUP($D11,NeoTblTijden!$A$17:$Y$27,NeoTblTijden!M$15,FALSE),"")</f>
        <v/>
      </c>
      <c r="T11" s="106" t="str">
        <f>IF(OR($D11="1 dd",$D11="2 dd",$D11="3 dd",$D11="4 dd",$D11="5 dd",$D11="6 dd",$D11="8 dd",$D11="12 dd",$D11="24 dd",$D11="an",$D11="zn"),VLOOKUP($D11,NeoTblTijden!$A$17:$Y$27,NeoTblTijden!N$15,FALSE),"")</f>
        <v/>
      </c>
      <c r="U11" s="611" t="str">
        <f>IF(OR($D11="1 dd",$D11="2 dd",$D11="3 dd",$D11="4 dd",$D11="5 dd",$D11="6 dd",$D11="8 dd",$D11="12 dd",$D11="24 dd",$D11="an",$D11="zn"),VLOOKUP($D11,NeoTblTijden!$A$17:$Y$27,NeoTblTijden!O$15,FALSE),"")</f>
        <v/>
      </c>
      <c r="V11" s="106" t="str">
        <f>IF(OR($D11="1 dd",$D11="2 dd",$D11="3 dd",$D11="4 dd",$D11="5 dd",$D11="6 dd",$D11="8 dd",$D11="12 dd",$D11="24 dd",$D11="an",$D11="zn"),VLOOKUP($D11,NeoTblTijden!$A$17:$Y$27,NeoTblTijden!P$15,FALSE),"")</f>
        <v/>
      </c>
      <c r="W11" s="611" t="str">
        <f>IF(OR($D11="1 dd",$D11="2 dd",$D11="3 dd",$D11="4 dd",$D11="5 dd",$D11="6 dd",$D11="8 dd",$D11="12 dd",$D11="24 dd",$D11="an",$D11="zn"),VLOOKUP($D11,NeoTblTijden!$A$17:$Y$27,NeoTblTijden!Q$15,FALSE),"")</f>
        <v/>
      </c>
      <c r="X11" s="106" t="str">
        <f>IF(OR($D11="1 dd",$D11="2 dd",$D11="3 dd",$D11="4 dd",$D11="5 dd",$D11="6 dd",$D11="8 dd",$D11="12 dd",$D11="24 dd",$D11="an",$D11="zn"),VLOOKUP($D11,NeoTblTijden!$A$17:$Y$27,NeoTblTijden!R$15,FALSE),"")</f>
        <v/>
      </c>
      <c r="Y11" s="611" t="str">
        <f>IF(OR($D11="1 dd",$D11="2 dd",$D11="3 dd",$D11="4 dd",$D11="5 dd",$D11="6 dd",$D11="8 dd",$D11="12 dd",$D11="24 dd",$D11="an",$D11="zn"),VLOOKUP($D11,NeoTblTijden!$A$17:$Y$27,NeoTblTijden!S$15,FALSE),"")</f>
        <v/>
      </c>
      <c r="Z11" s="106" t="str">
        <f>IF(OR($D11="1 dd",$D11="2 dd",$D11="3 dd",$D11="4 dd",$D11="5 dd",$D11="6 dd",$D11="8 dd",$D11="12 dd",$D11="24 dd",$D11="an",$D11="zn"),VLOOKUP($D11,NeoTblTijden!$A$17:$Y$27,NeoTblTijden!T$15,FALSE),"")</f>
        <v/>
      </c>
      <c r="AA11" s="611" t="str">
        <f>IF(OR($D11="1 dd",$D11="2 dd",$D11="3 dd",$D11="4 dd",$D11="5 dd",$D11="6 dd",$D11="8 dd",$D11="12 dd",$D11="24 dd",$D11="an",$D11="zn"),VLOOKUP($D11,NeoTblTijden!$A$17:$Y$27,NeoTblTijden!U$15,FALSE),"")</f>
        <v/>
      </c>
      <c r="AB11" s="106" t="str">
        <f>IF(OR($D11="1 dd",$D11="2 dd",$D11="3 dd",$D11="4 dd",$D11="5 dd",$D11="6 dd",$D11="8 dd",$D11="12 dd",$D11="24 dd",$D11="an",$D11="zn"),VLOOKUP($D11,NeoTblTijden!$A$17:$Y$27,NeoTblTijden!V$15,FALSE),"")</f>
        <v/>
      </c>
      <c r="AC11" s="611" t="str">
        <f>IF(OR($D11="1 dd",$D11="2 dd",$D11="3 dd",$D11="4 dd",$D11="5 dd",$D11="6 dd",$D11="8 dd",$D11="12 dd",$D11="24 dd",$D11="an",$D11="zn"),VLOOKUP($D11,NeoTblTijden!$A$17:$Y$27,NeoTblTijden!W$15,FALSE),"")</f>
        <v/>
      </c>
      <c r="AD11" s="106" t="str">
        <f>IF(OR($D11="1 dd",$D11="2 dd",$D11="3 dd",$D11="4 dd",$D11="5 dd",$D11="6 dd",$D11="8 dd",$D11="12 dd",$D11="24 dd",$D11="an",$D11="zn"),VLOOKUP($D11,NeoTblTijden!$A$17:$Y$27,NeoTblTijden!X$15,FALSE),"")</f>
        <v/>
      </c>
      <c r="AE11" s="611" t="str">
        <f>IF(OR($D11="1 dd",$D11="2 dd",$D11="3 dd",$D11="4 dd",$D11="5 dd",$D11="6 dd",$D11="8 dd",$D11="12 dd",$D11="24 dd",$D11="an",$D11="zn"),VLOOKUP($D11,NeoTblTijden!$A$17:$Y$27,NeoTblTijden!Y$15,FALSE),"")</f>
        <v/>
      </c>
      <c r="AF11" s="105"/>
      <c r="AG11" s="17"/>
    </row>
    <row r="12" spans="1:33" ht="26.1" customHeight="1" x14ac:dyDescent="0.35">
      <c r="B12" s="107"/>
      <c r="C12" s="231" t="str">
        <f>IF(PedBerMedDisc!C11&lt;&gt;"",IF(PedBerMedDisc!C11&gt;1,TRIM(PedBerMedDisc!C11)&amp;", "&amp;GlobBerOpm!C16&amp;" ("&amp;PedBerMedDisc!M11&amp;" "&amp;PedBerMedDisc!F11&amp;"/kg/dag)",TRIM(PedBerMedDisc!C11)&amp;", "&amp;GlobBerOpm!C16),"")</f>
        <v/>
      </c>
      <c r="D12" s="232" t="str">
        <f>IF(PedGuiMedDisc!H24&lt;&gt;"",PedGuiMedDisc!H24,"")</f>
        <v/>
      </c>
      <c r="E12" s="233" t="str">
        <f>IF(AND(D12&lt;&gt;"",D12&lt;&gt;"STOP"),PedBerMedDisc!H11&amp;" "&amp;PedBerMedDisc!F11,"")</f>
        <v/>
      </c>
      <c r="F12" s="233" t="str">
        <f>IF(AND(D12&lt;&gt;"",D12&lt;&gt;"STOP"),PedBerMedDisc!L11," ")</f>
        <v xml:space="preserve"> </v>
      </c>
      <c r="G12" s="233" t="str">
        <f>IF(PedGuiMedDisc!L24&lt;&gt;"",PedGuiMedDisc!L24&amp;" "&amp;PedGuiMedDisc!M24&amp;" "&amp;INDEX(PedBerMedDisc!$B$27:$B$30,PedBerMedDisc!O11,1)&amp;" in "&amp;PedGuiMedDisc!$O$1404,"")</f>
        <v/>
      </c>
      <c r="H12" s="106" t="str">
        <f>IF(OR($D12="1 dd",$D12="2 dd",$D12="3 dd",$D12="4 dd",$D12="5 dd",$D12="6 dd",$D12="8 dd",$D12="12 dd",$D12="24 dd",$D12="an",$D12="zn"),VLOOKUP($D12,NeoTblTijden!$A$17:$Y$27,NeoTblTijden!B$15,FALSE),"")</f>
        <v/>
      </c>
      <c r="I12" s="611" t="str">
        <f>IF(OR($D12="1 dd",$D12="2 dd",$D12="3 dd",$D12="4 dd",$D12="5 dd",$D12="6 dd",$D12="8 dd",$D12="12 dd",$D12="24 dd",$D12="an",$D12="zn"),VLOOKUP($D12,NeoTblTijden!$A$17:$Y$27,NeoTblTijden!C$15,FALSE),"")</f>
        <v/>
      </c>
      <c r="J12" s="106" t="str">
        <f>IF(OR($D12="1 dd",$D12="2 dd",$D12="3 dd",$D12="4 dd",$D12="5 dd",$D12="6 dd",$D12="8 dd",$D12="12 dd",$D12="24 dd",$D12="an",$D12="zn"),VLOOKUP($D12,NeoTblTijden!$A$17:$Y$27,NeoTblTijden!D$15,FALSE),"")</f>
        <v/>
      </c>
      <c r="K12" s="611" t="str">
        <f>IF(OR($D12="1 dd",$D12="2 dd",$D12="3 dd",$D12="4 dd",$D12="5 dd",$D12="6 dd",$D12="8 dd",$D12="12 dd",$D12="24 dd",$D12="an",$D12="zn"),VLOOKUP($D12,NeoTblTijden!$A$17:$Y$27,NeoTblTijden!E$15,FALSE),"")</f>
        <v/>
      </c>
      <c r="L12" s="106" t="str">
        <f>IF(OR($D12="1 dd",$D12="2 dd",$D12="3 dd",$D12="4 dd",$D12="5 dd",$D12="6 dd",$D12="8 dd",$D12="12 dd",$D12="24 dd",$D12="an",$D12="zn"),VLOOKUP($D12,NeoTblTijden!$A$17:$Y$27,NeoTblTijden!F$15,FALSE),"")</f>
        <v/>
      </c>
      <c r="M12" s="611" t="str">
        <f>IF(OR($D12="1 dd",$D12="2 dd",$D12="3 dd",$D12="4 dd",$D12="5 dd",$D12="6 dd",$D12="8 dd",$D12="12 dd",$D12="24 dd",$D12="an",$D12="zn"),VLOOKUP($D12,NeoTblTijden!$A$17:$Y$27,NeoTblTijden!G$15,FALSE),"")</f>
        <v/>
      </c>
      <c r="N12" s="106" t="str">
        <f>IF(OR($D12="1 dd",$D12="2 dd",$D12="3 dd",$D12="4 dd",$D12="5 dd",$D12="6 dd",$D12="8 dd",$D12="12 dd",$D12="24 dd",$D12="an",$D12="zn"),VLOOKUP($D12,NeoTblTijden!$A$17:$Y$27,NeoTblTijden!H$15,FALSE),"")</f>
        <v/>
      </c>
      <c r="O12" s="611" t="str">
        <f>IF(OR($D12="1 dd",$D12="2 dd",$D12="3 dd",$D12="4 dd",$D12="5 dd",$D12="6 dd",$D12="8 dd",$D12="12 dd",$D12="24 dd",$D12="an",$D12="zn"),VLOOKUP($D12,NeoTblTijden!$A$17:$Y$27,NeoTblTijden!I$15,FALSE),"")</f>
        <v/>
      </c>
      <c r="P12" s="106" t="str">
        <f>IF(OR($D12="1 dd",$D12="2 dd",$D12="3 dd",$D12="4 dd",$D12="5 dd",$D12="6 dd",$D12="8 dd",$D12="12 dd",$D12="24 dd",$D12="an",$D12="zn"),VLOOKUP($D12,NeoTblTijden!$A$17:$Y$27,NeoTblTijden!J$15,FALSE),"")</f>
        <v/>
      </c>
      <c r="Q12" s="611" t="str">
        <f>IF(OR($D12="1 dd",$D12="2 dd",$D12="3 dd",$D12="4 dd",$D12="5 dd",$D12="6 dd",$D12="8 dd",$D12="12 dd",$D12="24 dd",$D12="an",$D12="zn"),VLOOKUP($D12,NeoTblTijden!$A$17:$Y$27,NeoTblTijden!K$15,FALSE),"")</f>
        <v/>
      </c>
      <c r="R12" s="106" t="str">
        <f>IF(OR($D12="1 dd",$D12="2 dd",$D12="3 dd",$D12="4 dd",$D12="5 dd",$D12="6 dd",$D12="8 dd",$D12="12 dd",$D12="24 dd",$D12="an",$D12="zn"),VLOOKUP($D12,NeoTblTijden!$A$17:$Y$27,NeoTblTijden!L$15,FALSE),"")</f>
        <v/>
      </c>
      <c r="S12" s="611" t="str">
        <f>IF(OR($D12="1 dd",$D12="2 dd",$D12="3 dd",$D12="4 dd",$D12="5 dd",$D12="6 dd",$D12="8 dd",$D12="12 dd",$D12="24 dd",$D12="an",$D12="zn"),VLOOKUP($D12,NeoTblTijden!$A$17:$Y$27,NeoTblTijden!M$15,FALSE),"")</f>
        <v/>
      </c>
      <c r="T12" s="106" t="str">
        <f>IF(OR($D12="1 dd",$D12="2 dd",$D12="3 dd",$D12="4 dd",$D12="5 dd",$D12="6 dd",$D12="8 dd",$D12="12 dd",$D12="24 dd",$D12="an",$D12="zn"),VLOOKUP($D12,NeoTblTijden!$A$17:$Y$27,NeoTblTijden!N$15,FALSE),"")</f>
        <v/>
      </c>
      <c r="U12" s="611" t="str">
        <f>IF(OR($D12="1 dd",$D12="2 dd",$D12="3 dd",$D12="4 dd",$D12="5 dd",$D12="6 dd",$D12="8 dd",$D12="12 dd",$D12="24 dd",$D12="an",$D12="zn"),VLOOKUP($D12,NeoTblTijden!$A$17:$Y$27,NeoTblTijden!O$15,FALSE),"")</f>
        <v/>
      </c>
      <c r="V12" s="106" t="str">
        <f>IF(OR($D12="1 dd",$D12="2 dd",$D12="3 dd",$D12="4 dd",$D12="5 dd",$D12="6 dd",$D12="8 dd",$D12="12 dd",$D12="24 dd",$D12="an",$D12="zn"),VLOOKUP($D12,NeoTblTijden!$A$17:$Y$27,NeoTblTijden!P$15,FALSE),"")</f>
        <v/>
      </c>
      <c r="W12" s="611" t="str">
        <f>IF(OR($D12="1 dd",$D12="2 dd",$D12="3 dd",$D12="4 dd",$D12="5 dd",$D12="6 dd",$D12="8 dd",$D12="12 dd",$D12="24 dd",$D12="an",$D12="zn"),VLOOKUP($D12,NeoTblTijden!$A$17:$Y$27,NeoTblTijden!Q$15,FALSE),"")</f>
        <v/>
      </c>
      <c r="X12" s="106" t="str">
        <f>IF(OR($D12="1 dd",$D12="2 dd",$D12="3 dd",$D12="4 dd",$D12="5 dd",$D12="6 dd",$D12="8 dd",$D12="12 dd",$D12="24 dd",$D12="an",$D12="zn"),VLOOKUP($D12,NeoTblTijden!$A$17:$Y$27,NeoTblTijden!R$15,FALSE),"")</f>
        <v/>
      </c>
      <c r="Y12" s="611" t="str">
        <f>IF(OR($D12="1 dd",$D12="2 dd",$D12="3 dd",$D12="4 dd",$D12="5 dd",$D12="6 dd",$D12="8 dd",$D12="12 dd",$D12="24 dd",$D12="an",$D12="zn"),VLOOKUP($D12,NeoTblTijden!$A$17:$Y$27,NeoTblTijden!S$15,FALSE),"")</f>
        <v/>
      </c>
      <c r="Z12" s="106" t="str">
        <f>IF(OR($D12="1 dd",$D12="2 dd",$D12="3 dd",$D12="4 dd",$D12="5 dd",$D12="6 dd",$D12="8 dd",$D12="12 dd",$D12="24 dd",$D12="an",$D12="zn"),VLOOKUP($D12,NeoTblTijden!$A$17:$Y$27,NeoTblTijden!T$15,FALSE),"")</f>
        <v/>
      </c>
      <c r="AA12" s="611" t="str">
        <f>IF(OR($D12="1 dd",$D12="2 dd",$D12="3 dd",$D12="4 dd",$D12="5 dd",$D12="6 dd",$D12="8 dd",$D12="12 dd",$D12="24 dd",$D12="an",$D12="zn"),VLOOKUP($D12,NeoTblTijden!$A$17:$Y$27,NeoTblTijden!U$15,FALSE),"")</f>
        <v/>
      </c>
      <c r="AB12" s="106" t="str">
        <f>IF(OR($D12="1 dd",$D12="2 dd",$D12="3 dd",$D12="4 dd",$D12="5 dd",$D12="6 dd",$D12="8 dd",$D12="12 dd",$D12="24 dd",$D12="an",$D12="zn"),VLOOKUP($D12,NeoTblTijden!$A$17:$Y$27,NeoTblTijden!V$15,FALSE),"")</f>
        <v/>
      </c>
      <c r="AC12" s="611" t="str">
        <f>IF(OR($D12="1 dd",$D12="2 dd",$D12="3 dd",$D12="4 dd",$D12="5 dd",$D12="6 dd",$D12="8 dd",$D12="12 dd",$D12="24 dd",$D12="an",$D12="zn"),VLOOKUP($D12,NeoTblTijden!$A$17:$Y$27,NeoTblTijden!W$15,FALSE),"")</f>
        <v/>
      </c>
      <c r="AD12" s="106" t="str">
        <f>IF(OR($D12="1 dd",$D12="2 dd",$D12="3 dd",$D12="4 dd",$D12="5 dd",$D12="6 dd",$D12="8 dd",$D12="12 dd",$D12="24 dd",$D12="an",$D12="zn"),VLOOKUP($D12,NeoTblTijden!$A$17:$Y$27,NeoTblTijden!X$15,FALSE),"")</f>
        <v/>
      </c>
      <c r="AE12" s="611" t="str">
        <f>IF(OR($D12="1 dd",$D12="2 dd",$D12="3 dd",$D12="4 dd",$D12="5 dd",$D12="6 dd",$D12="8 dd",$D12="12 dd",$D12="24 dd",$D12="an",$D12="zn"),VLOOKUP($D12,NeoTblTijden!$A$17:$Y$27,NeoTblTijden!Y$15,FALSE),"")</f>
        <v/>
      </c>
      <c r="AF12" s="105"/>
      <c r="AG12" s="17"/>
    </row>
    <row r="13" spans="1:33" ht="26.1" customHeight="1" x14ac:dyDescent="0.35">
      <c r="B13" s="107"/>
      <c r="C13" s="231" t="str">
        <f>IF(PedBerMedDisc!C12&lt;&gt;"",IF(PedBerMedDisc!C12&gt;1,TRIM(PedBerMedDisc!C12)&amp;", "&amp;GlobBerOpm!C17&amp;" ("&amp;PedBerMedDisc!M12&amp;" "&amp;PedBerMedDisc!F12&amp;"/kg/dag)",TRIM(PedBerMedDisc!C12)&amp;", "&amp;GlobBerOpm!C17),"")</f>
        <v/>
      </c>
      <c r="D13" s="232" t="str">
        <f>IF(PedGuiMedDisc!H26&lt;&gt;"",PedGuiMedDisc!H26,"")</f>
        <v/>
      </c>
      <c r="E13" s="233" t="str">
        <f>IF(AND(D13&lt;&gt;"",D13&lt;&gt;"STOP"),PedBerMedDisc!H12&amp;" "&amp;PedBerMedDisc!F12,"")</f>
        <v/>
      </c>
      <c r="F13" s="233" t="str">
        <f>IF(AND(D13&lt;&gt;"",D13&lt;&gt;"STOP"),PedBerMedDisc!L12," ")</f>
        <v xml:space="preserve"> </v>
      </c>
      <c r="G13" s="233" t="str">
        <f>IF(PedGuiMedDisc!L26&lt;&gt;"",PedGuiMedDisc!L26&amp;" "&amp;PedGuiMedDisc!M26&amp;" "&amp;INDEX(PedBerMedDisc!$B$27:$B$30,PedBerMedDisc!O12,1)&amp;" in "&amp;PedGuiMedDisc!$O$26,"")</f>
        <v/>
      </c>
      <c r="H13" s="106" t="str">
        <f>IF(OR($D13="1 dd",$D13="2 dd",$D13="3 dd",$D13="4 dd",$D13="5 dd",$D13="6 dd",$D13="8 dd",$D13="12 dd",$D13="24 dd",$D13="an",$D13="zn"),VLOOKUP($D13,NeoTblTijden!$A$17:$Y$27,NeoTblTijden!B$15,FALSE),"")</f>
        <v/>
      </c>
      <c r="I13" s="611" t="str">
        <f>IF(OR($D13="1 dd",$D13="2 dd",$D13="3 dd",$D13="4 dd",$D13="5 dd",$D13="6 dd",$D13="8 dd",$D13="12 dd",$D13="24 dd",$D13="an",$D13="zn"),VLOOKUP($D13,NeoTblTijden!$A$17:$Y$27,NeoTblTijden!C$15,FALSE),"")</f>
        <v/>
      </c>
      <c r="J13" s="106" t="str">
        <f>IF(OR($D13="1 dd",$D13="2 dd",$D13="3 dd",$D13="4 dd",$D13="5 dd",$D13="6 dd",$D13="8 dd",$D13="12 dd",$D13="24 dd",$D13="an",$D13="zn"),VLOOKUP($D13,NeoTblTijden!$A$17:$Y$27,NeoTblTijden!D$15,FALSE),"")</f>
        <v/>
      </c>
      <c r="K13" s="611" t="str">
        <f>IF(OR($D13="1 dd",$D13="2 dd",$D13="3 dd",$D13="4 dd",$D13="5 dd",$D13="6 dd",$D13="8 dd",$D13="12 dd",$D13="24 dd",$D13="an",$D13="zn"),VLOOKUP($D13,NeoTblTijden!$A$17:$Y$27,NeoTblTijden!E$15,FALSE),"")</f>
        <v/>
      </c>
      <c r="L13" s="106" t="str">
        <f>IF(OR($D13="1 dd",$D13="2 dd",$D13="3 dd",$D13="4 dd",$D13="5 dd",$D13="6 dd",$D13="8 dd",$D13="12 dd",$D13="24 dd",$D13="an",$D13="zn"),VLOOKUP($D13,NeoTblTijden!$A$17:$Y$27,NeoTblTijden!F$15,FALSE),"")</f>
        <v/>
      </c>
      <c r="M13" s="611" t="str">
        <f>IF(OR($D13="1 dd",$D13="2 dd",$D13="3 dd",$D13="4 dd",$D13="5 dd",$D13="6 dd",$D13="8 dd",$D13="12 dd",$D13="24 dd",$D13="an",$D13="zn"),VLOOKUP($D13,NeoTblTijden!$A$17:$Y$27,NeoTblTijden!G$15,FALSE),"")</f>
        <v/>
      </c>
      <c r="N13" s="106" t="str">
        <f>IF(OR($D13="1 dd",$D13="2 dd",$D13="3 dd",$D13="4 dd",$D13="5 dd",$D13="6 dd",$D13="8 dd",$D13="12 dd",$D13="24 dd",$D13="an",$D13="zn"),VLOOKUP($D13,NeoTblTijden!$A$17:$Y$27,NeoTblTijden!H$15,FALSE),"")</f>
        <v/>
      </c>
      <c r="O13" s="611" t="str">
        <f>IF(OR($D13="1 dd",$D13="2 dd",$D13="3 dd",$D13="4 dd",$D13="5 dd",$D13="6 dd",$D13="8 dd",$D13="12 dd",$D13="24 dd",$D13="an",$D13="zn"),VLOOKUP($D13,NeoTblTijden!$A$17:$Y$27,NeoTblTijden!I$15,FALSE),"")</f>
        <v/>
      </c>
      <c r="P13" s="106" t="str">
        <f>IF(OR($D13="1 dd",$D13="2 dd",$D13="3 dd",$D13="4 dd",$D13="5 dd",$D13="6 dd",$D13="8 dd",$D13="12 dd",$D13="24 dd",$D13="an",$D13="zn"),VLOOKUP($D13,NeoTblTijden!$A$17:$Y$27,NeoTblTijden!J$15,FALSE),"")</f>
        <v/>
      </c>
      <c r="Q13" s="611" t="str">
        <f>IF(OR($D13="1 dd",$D13="2 dd",$D13="3 dd",$D13="4 dd",$D13="5 dd",$D13="6 dd",$D13="8 dd",$D13="12 dd",$D13="24 dd",$D13="an",$D13="zn"),VLOOKUP($D13,NeoTblTijden!$A$17:$Y$27,NeoTblTijden!K$15,FALSE),"")</f>
        <v/>
      </c>
      <c r="R13" s="106" t="str">
        <f>IF(OR($D13="1 dd",$D13="2 dd",$D13="3 dd",$D13="4 dd",$D13="5 dd",$D13="6 dd",$D13="8 dd",$D13="12 dd",$D13="24 dd",$D13="an",$D13="zn"),VLOOKUP($D13,NeoTblTijden!$A$17:$Y$27,NeoTblTijden!L$15,FALSE),"")</f>
        <v/>
      </c>
      <c r="S13" s="611" t="str">
        <f>IF(OR($D13="1 dd",$D13="2 dd",$D13="3 dd",$D13="4 dd",$D13="5 dd",$D13="6 dd",$D13="8 dd",$D13="12 dd",$D13="24 dd",$D13="an",$D13="zn"),VLOOKUP($D13,NeoTblTijden!$A$17:$Y$27,NeoTblTijden!M$15,FALSE),"")</f>
        <v/>
      </c>
      <c r="T13" s="106" t="str">
        <f>IF(OR($D13="1 dd",$D13="2 dd",$D13="3 dd",$D13="4 dd",$D13="5 dd",$D13="6 dd",$D13="8 dd",$D13="12 dd",$D13="24 dd",$D13="an",$D13="zn"),VLOOKUP($D13,NeoTblTijden!$A$17:$Y$27,NeoTblTijden!N$15,FALSE),"")</f>
        <v/>
      </c>
      <c r="U13" s="611" t="str">
        <f>IF(OR($D13="1 dd",$D13="2 dd",$D13="3 dd",$D13="4 dd",$D13="5 dd",$D13="6 dd",$D13="8 dd",$D13="12 dd",$D13="24 dd",$D13="an",$D13="zn"),VLOOKUP($D13,NeoTblTijden!$A$17:$Y$27,NeoTblTijden!O$15,FALSE),"")</f>
        <v/>
      </c>
      <c r="V13" s="106" t="str">
        <f>IF(OR($D13="1 dd",$D13="2 dd",$D13="3 dd",$D13="4 dd",$D13="5 dd",$D13="6 dd",$D13="8 dd",$D13="12 dd",$D13="24 dd",$D13="an",$D13="zn"),VLOOKUP($D13,NeoTblTijden!$A$17:$Y$27,NeoTblTijden!P$15,FALSE),"")</f>
        <v/>
      </c>
      <c r="W13" s="611" t="str">
        <f>IF(OR($D13="1 dd",$D13="2 dd",$D13="3 dd",$D13="4 dd",$D13="5 dd",$D13="6 dd",$D13="8 dd",$D13="12 dd",$D13="24 dd",$D13="an",$D13="zn"),VLOOKUP($D13,NeoTblTijden!$A$17:$Y$27,NeoTblTijden!Q$15,FALSE),"")</f>
        <v/>
      </c>
      <c r="X13" s="106" t="str">
        <f>IF(OR($D13="1 dd",$D13="2 dd",$D13="3 dd",$D13="4 dd",$D13="5 dd",$D13="6 dd",$D13="8 dd",$D13="12 dd",$D13="24 dd",$D13="an",$D13="zn"),VLOOKUP($D13,NeoTblTijden!$A$17:$Y$27,NeoTblTijden!R$15,FALSE),"")</f>
        <v/>
      </c>
      <c r="Y13" s="611" t="str">
        <f>IF(OR($D13="1 dd",$D13="2 dd",$D13="3 dd",$D13="4 dd",$D13="5 dd",$D13="6 dd",$D13="8 dd",$D13="12 dd",$D13="24 dd",$D13="an",$D13="zn"),VLOOKUP($D13,NeoTblTijden!$A$17:$Y$27,NeoTblTijden!S$15,FALSE),"")</f>
        <v/>
      </c>
      <c r="Z13" s="106" t="str">
        <f>IF(OR($D13="1 dd",$D13="2 dd",$D13="3 dd",$D13="4 dd",$D13="5 dd",$D13="6 dd",$D13="8 dd",$D13="12 dd",$D13="24 dd",$D13="an",$D13="zn"),VLOOKUP($D13,NeoTblTijden!$A$17:$Y$27,NeoTblTijden!T$15,FALSE),"")</f>
        <v/>
      </c>
      <c r="AA13" s="611" t="str">
        <f>IF(OR($D13="1 dd",$D13="2 dd",$D13="3 dd",$D13="4 dd",$D13="5 dd",$D13="6 dd",$D13="8 dd",$D13="12 dd",$D13="24 dd",$D13="an",$D13="zn"),VLOOKUP($D13,NeoTblTijden!$A$17:$Y$27,NeoTblTijden!U$15,FALSE),"")</f>
        <v/>
      </c>
      <c r="AB13" s="106" t="str">
        <f>IF(OR($D13="1 dd",$D13="2 dd",$D13="3 dd",$D13="4 dd",$D13="5 dd",$D13="6 dd",$D13="8 dd",$D13="12 dd",$D13="24 dd",$D13="an",$D13="zn"),VLOOKUP($D13,NeoTblTijden!$A$17:$Y$27,NeoTblTijden!V$15,FALSE),"")</f>
        <v/>
      </c>
      <c r="AC13" s="611" t="str">
        <f>IF(OR($D13="1 dd",$D13="2 dd",$D13="3 dd",$D13="4 dd",$D13="5 dd",$D13="6 dd",$D13="8 dd",$D13="12 dd",$D13="24 dd",$D13="an",$D13="zn"),VLOOKUP($D13,NeoTblTijden!$A$17:$Y$27,NeoTblTijden!W$15,FALSE),"")</f>
        <v/>
      </c>
      <c r="AD13" s="106" t="str">
        <f>IF(OR($D13="1 dd",$D13="2 dd",$D13="3 dd",$D13="4 dd",$D13="5 dd",$D13="6 dd",$D13="8 dd",$D13="12 dd",$D13="24 dd",$D13="an",$D13="zn"),VLOOKUP($D13,NeoTblTijden!$A$17:$Y$27,NeoTblTijden!X$15,FALSE),"")</f>
        <v/>
      </c>
      <c r="AE13" s="611" t="str">
        <f>IF(OR($D13="1 dd",$D13="2 dd",$D13="3 dd",$D13="4 dd",$D13="5 dd",$D13="6 dd",$D13="8 dd",$D13="12 dd",$D13="24 dd",$D13="an",$D13="zn"),VLOOKUP($D13,NeoTblTijden!$A$17:$Y$27,NeoTblTijden!Y$15,FALSE),"")</f>
        <v/>
      </c>
      <c r="AF13" s="105"/>
      <c r="AG13" s="17"/>
    </row>
    <row r="14" spans="1:33" ht="26.1" customHeight="1" x14ac:dyDescent="0.35">
      <c r="B14" s="107"/>
      <c r="C14" s="231" t="str">
        <f>IF(PedBerMedDisc!C13&lt;&gt;"",IF(PedBerMedDisc!C13&gt;1,TRIM(PedBerMedDisc!C13)&amp;", "&amp;GlobBerOpm!C18&amp;" ("&amp;PedBerMedDisc!M13&amp;" "&amp;PedBerMedDisc!F13&amp;"/kg/dag)",TRIM(PedBerMedDisc!C13)&amp;", "&amp;GlobBerOpm!C18),"")</f>
        <v/>
      </c>
      <c r="D14" s="232" t="str">
        <f>IF(PedGuiMedDisc!H28&lt;&gt;"",PedGuiMedDisc!H28,"")</f>
        <v/>
      </c>
      <c r="E14" s="233" t="str">
        <f>IF(AND(D14&lt;&gt;"",D14&lt;&gt;"STOP"),PedBerMedDisc!H13&amp;" "&amp;PedBerMedDisc!F13,"")</f>
        <v/>
      </c>
      <c r="F14" s="233" t="str">
        <f>IF(AND(D14&lt;&gt;"",D14&lt;&gt;"STOP"),PedBerMedDisc!L13," ")</f>
        <v xml:space="preserve"> </v>
      </c>
      <c r="G14" s="233" t="str">
        <f>IF(PedGuiMedDisc!L28&lt;&gt;"",PedGuiMedDisc!L28&amp;" "&amp;PedGuiMedDisc!M28&amp;" "&amp;INDEX(PedBerMedDisc!$B$27:$B$30,PedBerMedDisc!O13,1)&amp;" in "&amp;PedGuiMedDisc!$O$28,"")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IF(PedBerMedDisc!C14&lt;&gt;"",IF(PedBerMedDisc!C14&gt;1,TRIM(PedBerMedDisc!C14)&amp;", "&amp;GlobBerOpm!C19&amp;" ("&amp;PedBerMedDisc!M14&amp;" "&amp;PedBerMedDisc!F14&amp;"/kg/dag)",TRIM(PedBerMedDisc!C14)&amp;", "&amp;GlobBerOpm!C19),"")</f>
        <v/>
      </c>
      <c r="D15" s="232" t="str">
        <f>IF(PedGuiMedDisc!H30&lt;&gt;"",PedGuiMedDisc!H30,"")</f>
        <v/>
      </c>
      <c r="E15" s="233" t="str">
        <f>IF(AND(D15&lt;&gt;"",D15&lt;&gt;"STOP"),PedBerMedDisc!H14&amp;" "&amp;PedBerMedDisc!F14,"")</f>
        <v/>
      </c>
      <c r="F15" s="233" t="str">
        <f>IF(AND(D15&lt;&gt;"",D15&lt;&gt;"STOP"),PedBerMedDisc!L14," ")</f>
        <v xml:space="preserve"> </v>
      </c>
      <c r="G15" s="233" t="str">
        <f>IF(PedGuiMedDisc!L30&lt;&gt;"",PedGuiMedDisc!L30&amp;" "&amp;PedGuiMedDisc!M30&amp;" "&amp;INDEX(PedBerMedDisc!$B$27:$B$30,PedBerMedDisc!O14,1)&amp;" in "&amp;PedGuiMedDisc!$O$30,"")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IF(PedBerMedDisc!C15&lt;&gt;"",IF(PedBerMedDisc!C15&gt;1,TRIM(PedBerMedDisc!C15)&amp;", "&amp;GlobBerOpm!C20&amp;" ("&amp;PedBerMedDisc!M15&amp;" "&amp;PedBerMedDisc!F15&amp;"/kg/dag)",TRIM(PedBerMedDisc!C15)&amp;", "&amp;GlobBerOpm!C20),"")</f>
        <v/>
      </c>
      <c r="D16" s="232" t="str">
        <f>IF(PedGuiMedDisc!H32&lt;&gt;"",PedGuiMedDisc!H32,"")</f>
        <v/>
      </c>
      <c r="E16" s="233" t="str">
        <f>IF(AND(D16&lt;&gt;"",D16&lt;&gt;"STOP"),PedBerMedDisc!H15&amp;" "&amp;PedBerMedDisc!F15,"")</f>
        <v/>
      </c>
      <c r="F16" s="233" t="str">
        <f>IF(AND(D16&lt;&gt;"",D16&lt;&gt;"STOP"),PedBerMedDisc!L15," ")</f>
        <v xml:space="preserve"> </v>
      </c>
      <c r="G16" s="233" t="str">
        <f>IF(PedGuiMedDisc!L32&lt;&gt;"",PedGuiMedDisc!L32&amp;" "&amp;PedGuiMedDisc!M32&amp;" "&amp;INDEX(PedBerMedDisc!$B$27:$B$30,PedBerMedDisc!O15,1)&amp;" in "&amp;PedGuiMedDisc!$O$32,"")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IF(PedBerMedDisc!C16&lt;&gt;"",IF(PedBerMedDisc!C16&gt;1,TRIM(PedBerMedDisc!C16)&amp;", "&amp;GlobBerOpm!C21&amp;" ("&amp;PedBerMedDisc!M16&amp;" "&amp;PedBerMedDisc!F16&amp;"/kg/dag)",TRIM(PedBerMedDisc!C16)&amp;", "&amp;GlobBerOpm!C21),"")</f>
        <v/>
      </c>
      <c r="D17" s="232" t="str">
        <f>IF(PedGuiMedDisc!H34&lt;&gt;"",PedGuiMedDisc!H34,"")</f>
        <v/>
      </c>
      <c r="E17" s="233" t="str">
        <f>IF(AND(D17&lt;&gt;"",D17&lt;&gt;"STOP"),PedBerMedDisc!H16&amp;" "&amp;PedBerMedDisc!F16,"")</f>
        <v/>
      </c>
      <c r="F17" s="233" t="str">
        <f>IF(AND(D17&lt;&gt;"",D17&lt;&gt;"STOP"),PedBerMedDisc!L16," ")</f>
        <v xml:space="preserve"> </v>
      </c>
      <c r="G17" s="233" t="str">
        <f>IF(PedGuiMedDisc!L34&lt;&gt;"",PedGuiMedDisc!L34&amp;" "&amp;PedGuiMedDisc!M34&amp;" "&amp;INDEX(PedBerMedDisc!$B$27:$B$30,PedBerMedDisc!O16,1)&amp;" in "&amp;PedGuiMedDisc!$O$34,"")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IF(PedBerMedDisc!C17&lt;&gt;"",IF(PedBerMedDisc!C17&gt;1,TRIM(PedBerMedDisc!C17)&amp;", "&amp;GlobBerOpm!C22&amp;" ("&amp;PedBerMedDisc!M17&amp;" "&amp;PedBerMedDisc!F17&amp;"/kg/dag)",TRIM(PedBerMedDisc!C17)&amp;", "&amp;GlobBerOpm!C22),"")</f>
        <v/>
      </c>
      <c r="D18" s="232" t="str">
        <f>IF(PedGuiMedDisc!H36&lt;&gt;"",PedGuiMedDisc!H36,"")</f>
        <v/>
      </c>
      <c r="E18" s="233" t="str">
        <f>IF(AND(D18&lt;&gt;"",D18&lt;&gt;"STOP"),PedBerMedDisc!H17&amp;" "&amp;PedBerMedDisc!F17,"")</f>
        <v/>
      </c>
      <c r="F18" s="233" t="str">
        <f>IF(AND(D18&lt;&gt;"",D18&lt;&gt;"STOP"),PedBerMedDisc!L17," ")</f>
        <v xml:space="preserve"> </v>
      </c>
      <c r="G18" s="233" t="str">
        <f>IF(PedGuiMedDisc!L36&lt;&gt;"",PedGuiMedDisc!L36&amp;" "&amp;PedGuiMedDisc!M36&amp;" "&amp;INDEX(PedBerMedDisc!$B$27:$B$30,PedBerMedDisc!O17,1)&amp;" in "&amp;PedGuiMedDisc!$O$36,"")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IF(PedBerMedDisc!C18&lt;&gt;"",IF(PedBerMedDisc!C18&gt;1,TRIM(PedBerMedDisc!C18)&amp;", "&amp;GlobBerOpm!C23&amp;" ("&amp;PedBerMedDisc!M18&amp;" "&amp;PedBerMedDisc!F18&amp;"/kg/dag)",TRIM(PedBerMedDisc!C18)&amp;", "&amp;GlobBerOpm!C23),"")</f>
        <v/>
      </c>
      <c r="D19" s="232" t="str">
        <f>IF(PedGuiMedDisc!H38&lt;&gt;"",PedGuiMedDisc!H38,"")</f>
        <v/>
      </c>
      <c r="E19" s="233" t="str">
        <f>IF(AND(D19&lt;&gt;"",D19&lt;&gt;"STOP"),PedBerMedDisc!H18&amp;" "&amp;PedBerMedDisc!F18,"")</f>
        <v/>
      </c>
      <c r="F19" s="233" t="str">
        <f>IF(AND(D19&lt;&gt;"",D19&lt;&gt;"STOP"),PedBerMedDisc!L18," ")</f>
        <v xml:space="preserve"> </v>
      </c>
      <c r="G19" s="233" t="str">
        <f>IF(PedGuiMedDisc!L38&lt;&gt;"",PedGuiMedDisc!L38&amp;" "&amp;PedGuiMedDisc!M38&amp;" "&amp;INDEX(PedBerMedDisc!$B$27:$B$30,PedBerMedDisc!O18,1)&amp;" in "&amp;PedGuiMedDisc!$O$38,"")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IF(PedBerMedDisc!C19&lt;&gt;"",IF(PedBerMedDisc!C19&gt;1,TRIM(PedBerMedDisc!C19)&amp;", "&amp;GlobBerOpm!C24&amp;" ("&amp;PedBerMedDisc!M19&amp;" "&amp;PedBerMedDisc!F19&amp;"/kg/dag)",TRIM(PedBerMedDisc!C19)&amp;", "&amp;GlobBerOpm!C24),"")</f>
        <v/>
      </c>
      <c r="D20" s="232" t="str">
        <f>IF(PedGuiMedDisc!H40&lt;&gt;"",PedGuiMedDisc!H40,"")</f>
        <v/>
      </c>
      <c r="E20" s="233" t="str">
        <f>IF(AND(D20&lt;&gt;"",D20&lt;&gt;"STOP"),PedBerMedDisc!H19&amp;" "&amp;PedBerMedDisc!F19,"")</f>
        <v/>
      </c>
      <c r="F20" s="233" t="str">
        <f>IF(AND(D20&lt;&gt;"",D20&lt;&gt;"STOP"),PedBerMedDisc!L19," ")</f>
        <v xml:space="preserve"> </v>
      </c>
      <c r="G20" s="233" t="str">
        <f>IF(PedGuiMedDisc!L40&lt;&gt;"",PedGuiMedDisc!L40&amp;" "&amp;PedGuiMedDisc!M40&amp;" "&amp;INDEX(PedBerMedDisc!$B$27:$B$30,PedBerMedDisc!O19,1)&amp;" in "&amp;PedGuiMedDisc!$O$40,"")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IF(PedBerMedDisc!C20&lt;&gt;"",IF(PedBerMedDisc!C20&gt;1,TRIM(PedBerMedDisc!C20)&amp;", "&amp;GlobBerOpm!C25&amp;" ("&amp;PedBerMedDisc!M20&amp;" "&amp;PedBerMedDisc!F20&amp;"/kg/dag)",TRIM(PedBerMedDisc!C20)&amp;", "&amp;GlobBerOpm!C25),"")</f>
        <v/>
      </c>
      <c r="D21" s="232" t="str">
        <f>IF(PedGuiMedDisc!H42&lt;&gt;"",PedGuiMedDisc!H42,"")</f>
        <v/>
      </c>
      <c r="E21" s="233" t="str">
        <f>IF(AND(D21&lt;&gt;"",D21&lt;&gt;"STOP"),PedBerMedDisc!H20&amp;" "&amp;PedBerMedDisc!F20,"")</f>
        <v/>
      </c>
      <c r="F21" s="233" t="str">
        <f>IF(AND(D21&lt;&gt;"",D21&lt;&gt;"STOP"),PedBerMedDisc!L20," ")</f>
        <v xml:space="preserve"> </v>
      </c>
      <c r="G21" s="233" t="str">
        <f>IF(PedGuiMedDisc!L42&lt;&gt;"",PedGuiMedDisc!L42&amp;" "&amp;PedGuiMedDisc!M42&amp;" "&amp;INDEX(PedBerMedDisc!$B$27:$B$30,PedBerMedDisc!O20,1)&amp;" in "&amp;PedGuiMedDisc!$O$42,"")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IF(PedBerMedDisc!C21&lt;&gt;"",IF(PedBerMedDisc!C21&gt;1,TRIM(PedBerMedDisc!C21)&amp;", "&amp;GlobBerOpm!C26&amp;" ("&amp;PedBerMedDisc!M21&amp;" "&amp;PedBerMedDisc!F21&amp;"/kg/dag)",TRIM(PedBerMedDisc!C21)&amp;", "&amp;GlobBerOpm!C26),"")</f>
        <v/>
      </c>
      <c r="D22" s="232" t="str">
        <f>IF(PedGuiMedDisc!H44&lt;&gt;"",PedGuiMedDisc!H44,"")</f>
        <v/>
      </c>
      <c r="E22" s="233" t="str">
        <f>IF(AND(D22&lt;&gt;"",D22&lt;&gt;"STOP"),PedBerMedDisc!H21&amp;" "&amp;PedBerMedDisc!F21,"")</f>
        <v/>
      </c>
      <c r="F22" s="233" t="str">
        <f>IF(AND(D22&lt;&gt;"",D22&lt;&gt;"STOP"),PedBerMedDisc!L21," ")</f>
        <v xml:space="preserve"> </v>
      </c>
      <c r="G22" s="233" t="str">
        <f>IF(PedGuiMedDisc!L44&lt;&gt;"",PedGuiMedDisc!L44&amp;" "&amp;PedGuiMedDisc!M44&amp;" "&amp;INDEX(PedBerMedDisc!$B$27:$B$30,PedBerMedDisc!O21,1)&amp;" in "&amp;PedGuiMedDisc!$O$44,"")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</sheetData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328125" defaultRowHeight="12.85" x14ac:dyDescent="0.35"/>
  <cols>
    <col min="1" max="1" width="9.1328125" style="517"/>
    <col min="2" max="25" width="4.73046875" style="517" customWidth="1"/>
    <col min="26" max="16384" width="9.1328125" style="517"/>
  </cols>
  <sheetData>
    <row r="1" spans="1:25" x14ac:dyDescent="0.35">
      <c r="A1" s="577" t="s">
        <v>419</v>
      </c>
    </row>
    <row r="2" spans="1:25" x14ac:dyDescent="0.35">
      <c r="A2" s="517" t="s">
        <v>410</v>
      </c>
      <c r="B2" s="517">
        <v>20</v>
      </c>
    </row>
    <row r="3" spans="1:25" x14ac:dyDescent="0.35">
      <c r="A3" s="517" t="s">
        <v>420</v>
      </c>
      <c r="B3" s="517">
        <v>9</v>
      </c>
    </row>
    <row r="4" spans="1:25" x14ac:dyDescent="0.35">
      <c r="A4" s="517" t="s">
        <v>421</v>
      </c>
      <c r="B4" s="517">
        <v>9</v>
      </c>
      <c r="C4" s="517">
        <v>21</v>
      </c>
    </row>
    <row r="5" spans="1:25" x14ac:dyDescent="0.35">
      <c r="A5" s="517" t="s">
        <v>422</v>
      </c>
      <c r="B5" s="517">
        <v>9</v>
      </c>
      <c r="C5" s="517">
        <v>17</v>
      </c>
      <c r="D5" s="517">
        <v>1</v>
      </c>
    </row>
    <row r="6" spans="1:25" x14ac:dyDescent="0.35">
      <c r="A6" s="577" t="s">
        <v>423</v>
      </c>
      <c r="B6" s="517">
        <v>9</v>
      </c>
      <c r="C6" s="517">
        <v>15</v>
      </c>
      <c r="D6" s="517">
        <v>21</v>
      </c>
      <c r="E6" s="517">
        <v>3</v>
      </c>
    </row>
    <row r="7" spans="1:25" x14ac:dyDescent="0.35">
      <c r="A7" s="583" t="s">
        <v>469</v>
      </c>
      <c r="B7" s="517">
        <v>9</v>
      </c>
      <c r="C7" s="517">
        <v>12</v>
      </c>
      <c r="D7" s="517">
        <v>15</v>
      </c>
      <c r="E7" s="517">
        <v>18</v>
      </c>
      <c r="F7" s="517">
        <v>22</v>
      </c>
    </row>
    <row r="8" spans="1:25" x14ac:dyDescent="0.35">
      <c r="A8" s="517" t="s">
        <v>196</v>
      </c>
      <c r="B8" s="517">
        <v>9</v>
      </c>
      <c r="C8" s="517">
        <v>13</v>
      </c>
      <c r="D8" s="517">
        <v>17</v>
      </c>
      <c r="E8" s="517">
        <v>21</v>
      </c>
      <c r="F8" s="517">
        <v>1</v>
      </c>
      <c r="G8" s="517">
        <v>5</v>
      </c>
    </row>
    <row r="9" spans="1:25" x14ac:dyDescent="0.35">
      <c r="A9" s="517" t="s">
        <v>197</v>
      </c>
      <c r="B9" s="517">
        <v>11</v>
      </c>
      <c r="C9" s="517">
        <v>14</v>
      </c>
      <c r="D9" s="517">
        <v>17</v>
      </c>
      <c r="E9" s="517">
        <v>20</v>
      </c>
      <c r="F9" s="517">
        <v>23</v>
      </c>
      <c r="G9" s="517">
        <v>2</v>
      </c>
      <c r="H9" s="517">
        <v>5</v>
      </c>
      <c r="I9" s="517">
        <v>8</v>
      </c>
    </row>
    <row r="10" spans="1:25" x14ac:dyDescent="0.35">
      <c r="A10" s="517" t="s">
        <v>198</v>
      </c>
      <c r="B10" s="517">
        <v>9</v>
      </c>
      <c r="C10" s="517">
        <v>11</v>
      </c>
      <c r="D10" s="517">
        <v>13</v>
      </c>
      <c r="E10" s="517">
        <v>15</v>
      </c>
      <c r="F10" s="517">
        <v>17</v>
      </c>
      <c r="G10" s="517">
        <v>19</v>
      </c>
      <c r="H10" s="517">
        <v>21</v>
      </c>
      <c r="I10" s="517">
        <v>23</v>
      </c>
      <c r="J10" s="517">
        <v>1</v>
      </c>
      <c r="K10" s="517">
        <v>3</v>
      </c>
      <c r="L10" s="517">
        <v>5</v>
      </c>
      <c r="M10" s="517">
        <v>7</v>
      </c>
    </row>
    <row r="11" spans="1:25" x14ac:dyDescent="0.35">
      <c r="A11" s="517" t="s">
        <v>26</v>
      </c>
      <c r="B11" s="517">
        <v>9</v>
      </c>
      <c r="C11" s="517">
        <v>10</v>
      </c>
      <c r="D11" s="517">
        <v>11</v>
      </c>
      <c r="E11" s="517">
        <v>12</v>
      </c>
      <c r="F11" s="517">
        <v>13</v>
      </c>
      <c r="G11" s="517">
        <v>14</v>
      </c>
      <c r="H11" s="517">
        <v>15</v>
      </c>
      <c r="I11" s="517">
        <v>16</v>
      </c>
      <c r="J11" s="517">
        <v>17</v>
      </c>
      <c r="K11" s="517">
        <v>18</v>
      </c>
      <c r="L11" s="517">
        <v>19</v>
      </c>
      <c r="M11" s="517">
        <v>20</v>
      </c>
      <c r="N11" s="517">
        <v>21</v>
      </c>
      <c r="O11" s="517">
        <v>22</v>
      </c>
      <c r="P11" s="517">
        <v>23</v>
      </c>
      <c r="Q11" s="517">
        <v>24</v>
      </c>
      <c r="R11" s="517">
        <v>1</v>
      </c>
      <c r="S11" s="517">
        <v>2</v>
      </c>
      <c r="T11" s="517">
        <v>3</v>
      </c>
      <c r="U11" s="517">
        <v>4</v>
      </c>
      <c r="V11" s="517">
        <v>5</v>
      </c>
      <c r="W11" s="517">
        <v>6</v>
      </c>
      <c r="X11" s="517">
        <v>7</v>
      </c>
      <c r="Y11" s="517">
        <v>8</v>
      </c>
    </row>
    <row r="13" spans="1:25" x14ac:dyDescent="0.35">
      <c r="A13" s="517">
        <v>10</v>
      </c>
      <c r="B13" s="517" t="s">
        <v>420</v>
      </c>
      <c r="C13" s="517" t="s">
        <v>421</v>
      </c>
      <c r="D13" s="517" t="s">
        <v>422</v>
      </c>
      <c r="E13" s="517" t="s">
        <v>423</v>
      </c>
      <c r="F13" s="518" t="s">
        <v>469</v>
      </c>
      <c r="G13" s="518" t="s">
        <v>196</v>
      </c>
      <c r="H13" s="518" t="s">
        <v>197</v>
      </c>
      <c r="I13" s="518" t="s">
        <v>198</v>
      </c>
      <c r="J13" s="518" t="s">
        <v>26</v>
      </c>
    </row>
    <row r="15" spans="1:25" x14ac:dyDescent="0.35">
      <c r="B15" s="517">
        <v>2</v>
      </c>
      <c r="C15" s="517">
        <v>3</v>
      </c>
      <c r="D15" s="517">
        <v>4</v>
      </c>
      <c r="E15" s="517">
        <v>5</v>
      </c>
      <c r="F15" s="517">
        <v>6</v>
      </c>
      <c r="G15" s="517">
        <v>7</v>
      </c>
      <c r="H15" s="517">
        <v>8</v>
      </c>
      <c r="I15" s="517">
        <v>9</v>
      </c>
      <c r="J15" s="517">
        <v>10</v>
      </c>
      <c r="K15" s="517">
        <v>11</v>
      </c>
      <c r="L15" s="517">
        <v>12</v>
      </c>
      <c r="M15" s="517">
        <v>13</v>
      </c>
      <c r="N15" s="517">
        <v>14</v>
      </c>
      <c r="O15" s="517">
        <v>15</v>
      </c>
      <c r="P15" s="517">
        <v>16</v>
      </c>
      <c r="Q15" s="517">
        <v>17</v>
      </c>
      <c r="R15" s="517">
        <v>18</v>
      </c>
      <c r="S15" s="517">
        <v>19</v>
      </c>
      <c r="T15" s="517">
        <v>20</v>
      </c>
      <c r="U15" s="517">
        <v>21</v>
      </c>
      <c r="V15" s="517">
        <v>22</v>
      </c>
      <c r="W15" s="517">
        <v>23</v>
      </c>
      <c r="X15" s="517">
        <v>24</v>
      </c>
      <c r="Y15" s="517">
        <v>25</v>
      </c>
    </row>
    <row r="16" spans="1:25" x14ac:dyDescent="0.35">
      <c r="B16" s="14">
        <v>9</v>
      </c>
      <c r="C16" s="14">
        <v>10</v>
      </c>
      <c r="D16" s="14">
        <v>11</v>
      </c>
      <c r="E16" s="14">
        <v>12</v>
      </c>
      <c r="F16" s="14">
        <v>13</v>
      </c>
      <c r="G16" s="14">
        <v>14</v>
      </c>
      <c r="H16" s="14">
        <v>15</v>
      </c>
      <c r="I16" s="14">
        <v>16</v>
      </c>
      <c r="J16" s="14">
        <v>17</v>
      </c>
      <c r="K16" s="14">
        <v>18</v>
      </c>
      <c r="L16" s="14">
        <v>19</v>
      </c>
      <c r="M16" s="14">
        <v>20</v>
      </c>
      <c r="N16" s="14">
        <v>21</v>
      </c>
      <c r="O16" s="14">
        <v>22</v>
      </c>
      <c r="P16" s="14">
        <v>23</v>
      </c>
      <c r="Q16" s="14">
        <v>24</v>
      </c>
      <c r="R16" s="14">
        <v>1</v>
      </c>
      <c r="S16" s="14">
        <v>2</v>
      </c>
      <c r="T16" s="14">
        <v>3</v>
      </c>
      <c r="U16" s="14">
        <v>4</v>
      </c>
      <c r="V16" s="14">
        <v>5</v>
      </c>
      <c r="W16" s="14">
        <v>6</v>
      </c>
      <c r="X16" s="14">
        <v>7</v>
      </c>
      <c r="Y16" s="14">
        <v>8</v>
      </c>
    </row>
    <row r="17" spans="1:25" x14ac:dyDescent="0.35">
      <c r="A17" s="517" t="s">
        <v>420</v>
      </c>
      <c r="B17" s="15" t="s">
        <v>199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</row>
    <row r="18" spans="1:25" x14ac:dyDescent="0.35">
      <c r="A18" s="517" t="s">
        <v>421</v>
      </c>
      <c r="B18" s="15" t="s">
        <v>199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 t="s">
        <v>199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</row>
    <row r="19" spans="1:25" x14ac:dyDescent="0.35">
      <c r="A19" s="517" t="s">
        <v>422</v>
      </c>
      <c r="B19" s="15" t="s">
        <v>199</v>
      </c>
      <c r="C19" s="15"/>
      <c r="D19" s="15"/>
      <c r="E19" s="15"/>
      <c r="F19" s="15"/>
      <c r="G19" s="15"/>
      <c r="H19" s="15"/>
      <c r="I19" s="15"/>
      <c r="J19" s="15" t="s">
        <v>199</v>
      </c>
      <c r="K19" s="15"/>
      <c r="L19" s="15"/>
      <c r="M19" s="15"/>
      <c r="N19" s="15"/>
      <c r="O19" s="15"/>
      <c r="P19" s="15"/>
      <c r="Q19" s="15"/>
      <c r="R19" s="15" t="s">
        <v>199</v>
      </c>
      <c r="S19" s="15"/>
      <c r="T19" s="15"/>
      <c r="U19" s="15"/>
      <c r="V19" s="15"/>
      <c r="W19" s="15"/>
      <c r="X19" s="15"/>
      <c r="Y19" s="15"/>
    </row>
    <row r="20" spans="1:25" x14ac:dyDescent="0.35">
      <c r="A20" s="517" t="s">
        <v>423</v>
      </c>
      <c r="B20" s="15" t="s">
        <v>199</v>
      </c>
      <c r="C20" s="15"/>
      <c r="D20" s="15"/>
      <c r="E20" s="15"/>
      <c r="F20" s="15"/>
      <c r="G20" s="15"/>
      <c r="H20" s="15" t="s">
        <v>199</v>
      </c>
      <c r="I20" s="15"/>
      <c r="J20" s="15"/>
      <c r="K20" s="15"/>
      <c r="L20" s="15"/>
      <c r="M20" s="15"/>
      <c r="N20" s="15" t="s">
        <v>199</v>
      </c>
      <c r="O20" s="15"/>
      <c r="P20" s="15"/>
      <c r="Q20" s="15"/>
      <c r="R20" s="15"/>
      <c r="S20" s="15"/>
      <c r="T20" s="15" t="s">
        <v>199</v>
      </c>
      <c r="U20" s="15"/>
      <c r="V20" s="15"/>
      <c r="W20" s="15"/>
      <c r="X20" s="15"/>
      <c r="Y20" s="15"/>
    </row>
    <row r="21" spans="1:25" x14ac:dyDescent="0.35">
      <c r="A21" s="517" t="s">
        <v>469</v>
      </c>
      <c r="B21" s="15" t="s">
        <v>199</v>
      </c>
      <c r="C21" s="15"/>
      <c r="D21" s="15"/>
      <c r="E21" s="15" t="s">
        <v>199</v>
      </c>
      <c r="F21" s="15"/>
      <c r="G21" s="15"/>
      <c r="H21" s="15" t="s">
        <v>199</v>
      </c>
      <c r="I21" s="15"/>
      <c r="J21" s="15"/>
      <c r="K21" s="15" t="s">
        <v>199</v>
      </c>
      <c r="L21" s="15"/>
      <c r="M21" s="15"/>
      <c r="N21" s="15"/>
      <c r="O21" s="15" t="s">
        <v>199</v>
      </c>
      <c r="P21" s="15"/>
      <c r="Q21" s="15"/>
      <c r="R21" s="15"/>
      <c r="S21" s="15"/>
      <c r="T21" s="15"/>
      <c r="U21" s="15"/>
      <c r="V21" s="15"/>
      <c r="W21" s="15"/>
      <c r="X21" s="15"/>
      <c r="Y21" s="15"/>
    </row>
    <row r="22" spans="1:25" x14ac:dyDescent="0.35">
      <c r="A22" s="517" t="s">
        <v>196</v>
      </c>
      <c r="B22" s="15" t="s">
        <v>199</v>
      </c>
      <c r="C22" s="15"/>
      <c r="D22" s="15"/>
      <c r="E22" s="15"/>
      <c r="F22" s="15" t="s">
        <v>199</v>
      </c>
      <c r="G22" s="15"/>
      <c r="H22" s="15"/>
      <c r="I22" s="15"/>
      <c r="J22" s="15" t="s">
        <v>199</v>
      </c>
      <c r="K22" s="15"/>
      <c r="L22" s="15"/>
      <c r="M22" s="15"/>
      <c r="N22" s="15" t="s">
        <v>199</v>
      </c>
      <c r="O22" s="15"/>
      <c r="P22" s="15"/>
      <c r="Q22" s="15"/>
      <c r="R22" s="15" t="s">
        <v>199</v>
      </c>
      <c r="S22" s="15"/>
      <c r="T22" s="15"/>
      <c r="U22" s="15"/>
      <c r="V22" s="15" t="s">
        <v>199</v>
      </c>
      <c r="X22" s="15"/>
      <c r="Y22" s="15"/>
    </row>
    <row r="23" spans="1:25" x14ac:dyDescent="0.35">
      <c r="A23" s="518" t="s">
        <v>197</v>
      </c>
      <c r="B23" s="15"/>
      <c r="C23" s="15"/>
      <c r="D23" s="15" t="s">
        <v>199</v>
      </c>
      <c r="E23" s="15"/>
      <c r="F23" s="15"/>
      <c r="G23" s="15" t="s">
        <v>199</v>
      </c>
      <c r="H23" s="15"/>
      <c r="I23" s="15"/>
      <c r="J23" s="15" t="s">
        <v>199</v>
      </c>
      <c r="K23" s="15"/>
      <c r="L23" s="15"/>
      <c r="M23" s="15" t="s">
        <v>199</v>
      </c>
      <c r="N23" s="15"/>
      <c r="O23" s="15"/>
      <c r="P23" s="15" t="s">
        <v>199</v>
      </c>
      <c r="Q23" s="15"/>
      <c r="R23" s="15"/>
      <c r="S23" s="15" t="s">
        <v>199</v>
      </c>
      <c r="T23" s="15"/>
      <c r="U23" s="15"/>
      <c r="V23" s="15" t="s">
        <v>199</v>
      </c>
      <c r="W23" s="15"/>
      <c r="X23" s="15"/>
      <c r="Y23" s="15" t="s">
        <v>199</v>
      </c>
    </row>
    <row r="24" spans="1:25" x14ac:dyDescent="0.35">
      <c r="A24" s="518" t="s">
        <v>198</v>
      </c>
      <c r="B24" s="15" t="s">
        <v>199</v>
      </c>
      <c r="C24" s="15"/>
      <c r="D24" s="15" t="s">
        <v>199</v>
      </c>
      <c r="E24" s="15"/>
      <c r="F24" s="15" t="s">
        <v>199</v>
      </c>
      <c r="G24" s="15"/>
      <c r="H24" s="15" t="s">
        <v>199</v>
      </c>
      <c r="I24" s="15"/>
      <c r="J24" s="15" t="s">
        <v>199</v>
      </c>
      <c r="K24" s="15"/>
      <c r="L24" s="15" t="s">
        <v>199</v>
      </c>
      <c r="M24" s="15"/>
      <c r="N24" s="15" t="s">
        <v>199</v>
      </c>
      <c r="O24" s="15"/>
      <c r="P24" s="15" t="s">
        <v>199</v>
      </c>
      <c r="Q24" s="15"/>
      <c r="R24" s="15" t="s">
        <v>199</v>
      </c>
      <c r="S24" s="15"/>
      <c r="T24" s="15" t="s">
        <v>199</v>
      </c>
      <c r="U24" s="15"/>
      <c r="V24" s="15" t="s">
        <v>199</v>
      </c>
      <c r="W24" s="15"/>
      <c r="X24" s="15" t="s">
        <v>199</v>
      </c>
      <c r="Y24" s="15"/>
    </row>
    <row r="25" spans="1:25" x14ac:dyDescent="0.35">
      <c r="A25" s="518" t="s">
        <v>26</v>
      </c>
      <c r="B25" s="15" t="s">
        <v>199</v>
      </c>
      <c r="C25" s="15" t="s">
        <v>199</v>
      </c>
      <c r="D25" s="15" t="s">
        <v>199</v>
      </c>
      <c r="E25" s="15" t="s">
        <v>199</v>
      </c>
      <c r="F25" s="15" t="s">
        <v>199</v>
      </c>
      <c r="G25" s="15" t="s">
        <v>199</v>
      </c>
      <c r="H25" s="15" t="s">
        <v>199</v>
      </c>
      <c r="I25" s="15" t="s">
        <v>199</v>
      </c>
      <c r="J25" s="15" t="s">
        <v>199</v>
      </c>
      <c r="K25" s="15" t="s">
        <v>199</v>
      </c>
      <c r="L25" s="15" t="s">
        <v>199</v>
      </c>
      <c r="M25" s="15" t="s">
        <v>199</v>
      </c>
      <c r="N25" s="15" t="s">
        <v>199</v>
      </c>
      <c r="O25" s="15" t="s">
        <v>199</v>
      </c>
      <c r="P25" s="15" t="s">
        <v>199</v>
      </c>
      <c r="Q25" s="15" t="s">
        <v>199</v>
      </c>
      <c r="R25" s="15" t="s">
        <v>199</v>
      </c>
      <c r="S25" s="15" t="s">
        <v>199</v>
      </c>
      <c r="T25" s="15" t="s">
        <v>199</v>
      </c>
      <c r="U25" s="15" t="s">
        <v>199</v>
      </c>
      <c r="V25" s="15" t="s">
        <v>199</v>
      </c>
      <c r="W25" s="15" t="s">
        <v>199</v>
      </c>
      <c r="X25" s="15" t="s">
        <v>199</v>
      </c>
      <c r="Y25" s="15" t="s">
        <v>199</v>
      </c>
    </row>
    <row r="26" spans="1:25" x14ac:dyDescent="0.35">
      <c r="A26" s="518" t="s">
        <v>400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 t="s">
        <v>199</v>
      </c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</row>
    <row r="27" spans="1:25" x14ac:dyDescent="0.35">
      <c r="A27" s="518" t="s">
        <v>470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</row>
  </sheetData>
  <pageMargins left="0.75" right="0.75" top="1" bottom="1" header="0.5" footer="0.5"/>
  <pageSetup paperSize="9" orientation="portrait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Extra">
    <tabColor rgb="FF7030A0"/>
  </sheetPr>
  <dimension ref="A1:Q85"/>
  <sheetViews>
    <sheetView workbookViewId="0">
      <pane ySplit="4" topLeftCell="A5" activePane="bottomLeft" state="frozen"/>
      <selection pane="bottomLeft" activeCell="J2" sqref="J2"/>
    </sheetView>
  </sheetViews>
  <sheetFormatPr defaultRowHeight="12.85" x14ac:dyDescent="0.35"/>
  <cols>
    <col min="1" max="1" width="4.796875" customWidth="1"/>
    <col min="2" max="2" width="25" customWidth="1"/>
    <col min="3" max="3" width="16.265625" customWidth="1"/>
    <col min="4" max="4" width="16.73046875" customWidth="1"/>
    <col min="5" max="5" width="15" bestFit="1" customWidth="1"/>
    <col min="6" max="6" width="21.86328125" bestFit="1" customWidth="1"/>
    <col min="7" max="7" width="21.86328125" customWidth="1"/>
    <col min="8" max="8" width="7.265625" customWidth="1"/>
    <col min="9" max="9" width="27" customWidth="1"/>
    <col min="10" max="10" width="15.59765625" customWidth="1"/>
    <col min="11" max="11" width="13" customWidth="1"/>
    <col min="12" max="45" width="9.1328125" customWidth="1"/>
  </cols>
  <sheetData>
    <row r="1" spans="1:17" s="133" customFormat="1" x14ac:dyDescent="0.35">
      <c r="A1" s="590"/>
    </row>
    <row r="2" spans="1:17" s="133" customFormat="1" ht="17.25" customHeight="1" x14ac:dyDescent="0.4">
      <c r="B2" s="134" t="s">
        <v>328</v>
      </c>
      <c r="C2" s="135">
        <f ca="1">Var_AfspraakDatum</f>
        <v>42736</v>
      </c>
      <c r="D2" s="136"/>
      <c r="E2" s="134" t="s">
        <v>329</v>
      </c>
      <c r="F2" s="137">
        <f>_Pat_OpnDatum</f>
        <v>42736</v>
      </c>
      <c r="G2" s="134" t="str">
        <f ca="1">"ICU-dag: "&amp;Var_AfspraakDatum-_Pat_OpnDatum+1</f>
        <v>ICU-dag: 1</v>
      </c>
      <c r="H2" s="134"/>
      <c r="I2" s="270" t="s">
        <v>551</v>
      </c>
      <c r="J2" s="139" t="str">
        <f>__1_Bed</f>
        <v>Unit 1.2</v>
      </c>
    </row>
    <row r="3" spans="1:17" s="133" customFormat="1" ht="17.25" customHeight="1" x14ac:dyDescent="0.4">
      <c r="B3" s="134" t="s">
        <v>28</v>
      </c>
      <c r="C3" s="138" t="str">
        <f>__2_AchterNaam&amp;", "&amp;__3_VoorNaam</f>
        <v>Test, Test</v>
      </c>
      <c r="D3" s="138"/>
      <c r="E3" s="134" t="s">
        <v>336</v>
      </c>
      <c r="F3" s="137">
        <f>__4_GebDatum</f>
        <v>42736</v>
      </c>
      <c r="G3" s="139" t="str">
        <f>"Gewicht: "&amp;_Pat_Gewicht/10&amp;" kg"</f>
        <v>Gewicht: 10 kg</v>
      </c>
      <c r="H3" s="134"/>
      <c r="I3" s="139" t="str">
        <f>"Lengte: "&amp;_Pat_Lengte&amp;" cm"</f>
        <v>Lengte: 80 cm</v>
      </c>
      <c r="J3" s="134"/>
    </row>
    <row r="4" spans="1:17" s="133" customFormat="1" ht="17.25" customHeight="1" x14ac:dyDescent="0.4">
      <c r="A4" s="163"/>
      <c r="B4" s="134" t="s">
        <v>371</v>
      </c>
      <c r="C4" s="139">
        <f>__0_PatNum</f>
        <v>123456</v>
      </c>
      <c r="D4" s="136"/>
      <c r="E4" s="134" t="s">
        <v>298</v>
      </c>
      <c r="F4" s="141" t="str">
        <f ca="1">TRUNC((Var_AfspraakDatum-__4_GebDatum)/365,0)&amp;" jaar en "&amp;TRUNC(((Var_AfspraakDatum-__4_GebDatum)-365*TRUNC((Var_AfspraakDatum-__4_GebDatum)/365,0))/30,0)&amp;" maand(-en)"</f>
        <v>0 jaar en 0 maand(-en)</v>
      </c>
      <c r="G4" s="134"/>
      <c r="I4" s="134" t="str">
        <f>"Lichamelijk oppervlak: "&amp;ROUND(POWER(_Pat_Gewicht/10,0.425)*POWER(((_Pat_Lengte/100)*100),0.725)*0.007184,2)&amp;" m2"</f>
        <v>Lichamelijk oppervlak: 0,46 m2</v>
      </c>
      <c r="J4" s="134"/>
    </row>
    <row r="5" spans="1:17" x14ac:dyDescent="0.35">
      <c r="G5" s="517"/>
      <c r="H5" s="517"/>
    </row>
    <row r="6" spans="1:17" ht="13.2" x14ac:dyDescent="0.4">
      <c r="A6" s="577"/>
      <c r="B6" s="3" t="s">
        <v>780</v>
      </c>
      <c r="F6" s="3" t="s">
        <v>718</v>
      </c>
      <c r="G6" s="517"/>
      <c r="H6" s="3"/>
      <c r="I6" s="3" t="s">
        <v>787</v>
      </c>
      <c r="J6" s="517"/>
      <c r="K6" s="517"/>
      <c r="Q6" s="522"/>
    </row>
    <row r="7" spans="1:17" ht="18" customHeight="1" x14ac:dyDescent="0.35">
      <c r="G7" s="517"/>
      <c r="H7" s="517"/>
      <c r="I7" s="517"/>
      <c r="J7" s="517"/>
      <c r="K7" s="517"/>
      <c r="Q7" s="518"/>
    </row>
    <row r="8" spans="1:17" ht="18" customHeight="1" x14ac:dyDescent="0.35">
      <c r="C8" s="615" t="str">
        <f>IF(_Neo_AfsprD_GewichtFrequentie=0,"",_Neo_AfsprD_GewichtFrequentie)</f>
        <v/>
      </c>
      <c r="D8" s="557"/>
      <c r="G8" s="517"/>
      <c r="H8" s="517"/>
      <c r="I8" s="517"/>
      <c r="J8" s="615" t="str">
        <f>IF(_Neo_AfsprD_AantalLampen=0,"0 lamp(en)",CONCATENATE(_Neo_AfsprD_AantalLampen, " lamp(en)"))</f>
        <v>0 lamp(en)</v>
      </c>
      <c r="Q8" s="518"/>
    </row>
    <row r="9" spans="1:17" ht="18" customHeight="1" x14ac:dyDescent="0.35">
      <c r="C9" s="615" t="str">
        <f>IF(_Neo_AfsprD_LengteFrequentie=0,"",_Neo_AfsprD_LengteFrequentie)</f>
        <v/>
      </c>
      <c r="D9" s="557"/>
      <c r="G9" s="517"/>
      <c r="H9" s="517"/>
      <c r="I9" s="517"/>
      <c r="J9" s="517"/>
      <c r="K9" s="517"/>
      <c r="M9" s="517"/>
      <c r="N9" s="517"/>
      <c r="Q9" s="517"/>
    </row>
    <row r="10" spans="1:17" ht="18" customHeight="1" x14ac:dyDescent="0.35">
      <c r="A10" s="517"/>
      <c r="B10" s="517"/>
      <c r="C10" s="615" t="str">
        <f>IF(_Neo_AfsprD_SchedelFrequentie=0,"",_Neo_AfsprD_SchedelFrequentie)</f>
        <v/>
      </c>
      <c r="D10" s="557"/>
      <c r="G10" s="517"/>
      <c r="H10" s="517"/>
      <c r="I10" s="517"/>
      <c r="J10" s="517"/>
      <c r="K10" s="517"/>
      <c r="M10" s="517"/>
      <c r="N10" s="517"/>
      <c r="Q10" s="517"/>
    </row>
    <row r="11" spans="1:17" ht="18" customHeight="1" x14ac:dyDescent="0.35">
      <c r="G11" s="517"/>
      <c r="H11" s="517"/>
      <c r="I11" s="517"/>
      <c r="J11" s="517"/>
      <c r="K11" s="517"/>
      <c r="M11" s="517"/>
      <c r="N11" s="517"/>
    </row>
    <row r="12" spans="1:17" ht="18" customHeight="1" x14ac:dyDescent="0.35">
      <c r="C12" s="548" t="str">
        <f>CONCATENATE(NeoBerAfspr!$B$12," dd")</f>
        <v xml:space="preserve"> dd</v>
      </c>
      <c r="D12" s="547"/>
      <c r="G12" s="517"/>
      <c r="H12" s="517"/>
      <c r="I12" s="517"/>
      <c r="J12" s="517"/>
      <c r="K12" s="517"/>
      <c r="M12" s="517"/>
    </row>
    <row r="13" spans="1:17" ht="18" customHeight="1" x14ac:dyDescent="0.35">
      <c r="G13" s="517"/>
      <c r="H13" s="517"/>
      <c r="I13" s="517"/>
      <c r="J13" s="517"/>
      <c r="K13" s="517"/>
      <c r="M13" s="517"/>
    </row>
    <row r="14" spans="1:17" ht="18" customHeight="1" x14ac:dyDescent="0.35">
      <c r="G14" s="517"/>
      <c r="H14" s="517"/>
      <c r="I14" s="517"/>
      <c r="J14" s="517"/>
      <c r="K14" s="517"/>
      <c r="M14" s="518"/>
    </row>
    <row r="15" spans="1:17" ht="18" customHeight="1" x14ac:dyDescent="0.35">
      <c r="G15" s="517"/>
      <c r="H15" s="517"/>
      <c r="I15" s="517"/>
      <c r="J15" s="517"/>
      <c r="K15" s="517"/>
      <c r="M15" s="518"/>
    </row>
    <row r="16" spans="1:17" ht="18" customHeight="1" x14ac:dyDescent="0.35">
      <c r="G16" s="517"/>
      <c r="H16" s="517"/>
      <c r="I16" s="517"/>
      <c r="J16" s="517"/>
      <c r="K16" s="517"/>
      <c r="M16" s="517"/>
    </row>
    <row r="17" spans="1:14" ht="18" customHeight="1" x14ac:dyDescent="0.35">
      <c r="G17" s="517"/>
      <c r="H17" s="517"/>
      <c r="I17" s="517"/>
      <c r="J17" s="548" t="str">
        <f>CONCATENATE(NeoBerAfspr!$K$17," dd")</f>
        <v xml:space="preserve"> dd</v>
      </c>
      <c r="K17" s="548" t="str">
        <f>CONCATENATE(NeoBerAfspr!$L$17," ml")</f>
        <v xml:space="preserve"> ml</v>
      </c>
      <c r="M17" s="518"/>
      <c r="N17" s="517"/>
    </row>
    <row r="18" spans="1:14" ht="18" customHeight="1" x14ac:dyDescent="0.35">
      <c r="G18" s="517"/>
      <c r="H18" s="517"/>
      <c r="I18" s="517"/>
      <c r="J18" s="547"/>
      <c r="K18" s="547"/>
      <c r="M18" s="518"/>
      <c r="N18" s="517"/>
    </row>
    <row r="19" spans="1:14" ht="18" customHeight="1" x14ac:dyDescent="0.35">
      <c r="G19" s="517"/>
      <c r="H19" s="517"/>
      <c r="I19" s="517"/>
      <c r="J19" s="548" t="str">
        <f>CONCATENATE("à ",_Neo_AfsprD_VerliezenFrequentie," uur")</f>
        <v>à  uur</v>
      </c>
      <c r="K19" s="517"/>
      <c r="M19" s="518"/>
      <c r="N19" s="518"/>
    </row>
    <row r="20" spans="1:14" ht="18" customHeight="1" x14ac:dyDescent="0.35">
      <c r="G20" s="517"/>
      <c r="H20" s="517"/>
      <c r="I20" s="517"/>
      <c r="J20" s="517"/>
      <c r="K20" s="517"/>
      <c r="M20" s="518"/>
      <c r="N20" s="517"/>
    </row>
    <row r="21" spans="1:14" ht="18" customHeight="1" x14ac:dyDescent="0.4">
      <c r="B21" s="3" t="s">
        <v>786</v>
      </c>
      <c r="G21" s="517"/>
      <c r="H21" s="517"/>
      <c r="I21" s="517"/>
      <c r="J21" s="517"/>
      <c r="K21" s="517"/>
      <c r="M21" s="517"/>
      <c r="N21" s="518"/>
    </row>
    <row r="22" spans="1:14" ht="18" customHeight="1" x14ac:dyDescent="0.35">
      <c r="G22" s="517"/>
      <c r="H22" s="517"/>
      <c r="I22" s="517"/>
      <c r="J22" s="517"/>
      <c r="K22" s="517"/>
      <c r="M22" s="518"/>
      <c r="N22" s="518"/>
    </row>
    <row r="23" spans="1:14" ht="18" customHeight="1" x14ac:dyDescent="0.35">
      <c r="G23" s="517"/>
      <c r="H23" s="517"/>
      <c r="I23" s="517"/>
      <c r="J23" s="517"/>
      <c r="K23" s="517"/>
      <c r="M23" s="517"/>
      <c r="N23" s="517"/>
    </row>
    <row r="24" spans="1:14" ht="18" customHeight="1" x14ac:dyDescent="0.35">
      <c r="G24" s="517"/>
      <c r="H24" s="517"/>
      <c r="I24" s="517"/>
      <c r="J24" s="517"/>
      <c r="K24" s="517"/>
      <c r="M24" s="518"/>
      <c r="N24" s="518"/>
    </row>
    <row r="25" spans="1:14" ht="18" customHeight="1" x14ac:dyDescent="0.35">
      <c r="G25" s="517"/>
      <c r="H25" s="517"/>
      <c r="I25" s="517"/>
      <c r="J25" s="517"/>
      <c r="K25" s="517"/>
      <c r="M25" s="518"/>
      <c r="N25" s="518"/>
    </row>
    <row r="26" spans="1:14" ht="18" customHeight="1" x14ac:dyDescent="0.35">
      <c r="G26" s="517"/>
      <c r="H26" s="517"/>
      <c r="I26" s="517"/>
      <c r="J26" s="517"/>
      <c r="K26" s="517"/>
      <c r="M26" s="522"/>
      <c r="N26" s="518"/>
    </row>
    <row r="27" spans="1:14" ht="18" customHeight="1" x14ac:dyDescent="0.35">
      <c r="C27" s="518" t="s">
        <v>793</v>
      </c>
      <c r="D27" s="548" t="str">
        <f>CONCATENATE(NeoBerAfspr!C27," uur")</f>
        <v>12:00 uur</v>
      </c>
      <c r="G27" s="517"/>
      <c r="H27" s="517"/>
      <c r="I27" s="517"/>
      <c r="J27" s="517"/>
      <c r="K27" s="517"/>
      <c r="M27" s="518"/>
      <c r="N27" s="518"/>
    </row>
    <row r="28" spans="1:14" ht="18" customHeight="1" x14ac:dyDescent="0.35">
      <c r="G28" s="517"/>
      <c r="H28" s="517"/>
      <c r="I28" s="517"/>
      <c r="J28" s="517"/>
      <c r="K28" s="517"/>
      <c r="M28" s="518"/>
    </row>
    <row r="29" spans="1:14" ht="18" customHeight="1" x14ac:dyDescent="0.35">
      <c r="A29" s="517"/>
      <c r="B29" s="517"/>
      <c r="C29" s="517"/>
      <c r="D29" s="517"/>
      <c r="G29" s="517"/>
      <c r="H29" s="517"/>
      <c r="I29" s="517"/>
      <c r="J29" s="517"/>
      <c r="K29" s="517"/>
      <c r="M29" s="518"/>
    </row>
    <row r="30" spans="1:14" ht="18" customHeight="1" x14ac:dyDescent="0.35">
      <c r="A30" s="517"/>
      <c r="B30" s="517"/>
      <c r="C30" s="517"/>
      <c r="D30" s="517"/>
      <c r="G30" s="517"/>
      <c r="H30" s="517"/>
      <c r="I30" s="517"/>
      <c r="J30" s="517"/>
      <c r="K30" s="517"/>
      <c r="M30" s="517"/>
    </row>
    <row r="31" spans="1:14" ht="18" customHeight="1" x14ac:dyDescent="0.35">
      <c r="B31" s="517"/>
      <c r="C31" s="517"/>
      <c r="D31" s="517"/>
      <c r="G31" s="944" t="str">
        <f>IF(_Neo_AfsprB_WondkweekTekst=0,"",_Neo_AfsprB_WondkweekTekst)</f>
        <v/>
      </c>
      <c r="H31" s="944"/>
      <c r="L31" s="517"/>
      <c r="M31" s="517"/>
    </row>
    <row r="32" spans="1:14" ht="18" customHeight="1" x14ac:dyDescent="0.35">
      <c r="G32" s="944"/>
      <c r="H32" s="944"/>
      <c r="L32" s="517"/>
      <c r="M32" s="517"/>
    </row>
    <row r="33" spans="1:13" s="517" customFormat="1" ht="18" customHeight="1" x14ac:dyDescent="0.35">
      <c r="A33"/>
      <c r="B33"/>
      <c r="C33"/>
      <c r="D33"/>
      <c r="E33"/>
      <c r="G33" s="944"/>
      <c r="H33" s="944"/>
      <c r="L33"/>
    </row>
    <row r="34" spans="1:13" s="517" customFormat="1" ht="18" customHeight="1" x14ac:dyDescent="0.4">
      <c r="A34"/>
      <c r="B34" s="3" t="s">
        <v>1024</v>
      </c>
      <c r="C34"/>
      <c r="D34"/>
      <c r="E34"/>
      <c r="L34"/>
    </row>
    <row r="35" spans="1:13" ht="18" customHeight="1" x14ac:dyDescent="0.35">
      <c r="L35" s="517"/>
      <c r="M35" s="518"/>
    </row>
    <row r="36" spans="1:13" ht="18" customHeight="1" x14ac:dyDescent="0.35">
      <c r="E36" s="517"/>
      <c r="I36" s="517"/>
      <c r="J36" s="517"/>
      <c r="K36" s="517"/>
      <c r="L36" s="517"/>
      <c r="M36" s="518"/>
    </row>
    <row r="37" spans="1:13" s="517" customFormat="1" ht="18" customHeight="1" x14ac:dyDescent="0.35">
      <c r="L37"/>
      <c r="M37" s="518"/>
    </row>
    <row r="38" spans="1:13" s="517" customFormat="1" ht="18" customHeight="1" x14ac:dyDescent="0.35">
      <c r="B38" s="518"/>
      <c r="C38" s="518"/>
      <c r="M38" s="518"/>
    </row>
    <row r="39" spans="1:13" ht="18" customHeight="1" x14ac:dyDescent="0.35">
      <c r="A39" s="517"/>
      <c r="B39" s="518"/>
      <c r="C39" s="518"/>
      <c r="D39" s="517"/>
      <c r="E39" s="517"/>
      <c r="L39" s="517"/>
      <c r="M39" s="518"/>
    </row>
    <row r="40" spans="1:13" s="517" customFormat="1" ht="18" customHeight="1" x14ac:dyDescent="0.35">
      <c r="B40" s="518"/>
      <c r="C40" s="518"/>
      <c r="D40"/>
      <c r="E40"/>
      <c r="I40"/>
      <c r="J40"/>
      <c r="K40"/>
      <c r="M40" s="518"/>
    </row>
    <row r="41" spans="1:13" s="517" customFormat="1" ht="18" customHeight="1" x14ac:dyDescent="0.35">
      <c r="B41" s="518"/>
      <c r="C41" s="518"/>
      <c r="D41" s="616">
        <f>NeoBerAfspr!D47</f>
        <v>0</v>
      </c>
      <c r="E41" s="517" t="s">
        <v>1026</v>
      </c>
      <c r="I41"/>
      <c r="J41"/>
      <c r="K41"/>
      <c r="L41"/>
      <c r="M41" s="518"/>
    </row>
    <row r="42" spans="1:13" s="517" customFormat="1" ht="18" customHeight="1" x14ac:dyDescent="0.35">
      <c r="B42" s="518"/>
      <c r="I42"/>
      <c r="J42"/>
      <c r="K42"/>
      <c r="L42"/>
      <c r="M42" s="518"/>
    </row>
    <row r="43" spans="1:13" ht="18" customHeight="1" x14ac:dyDescent="0.35">
      <c r="A43" s="517"/>
      <c r="B43" s="518"/>
      <c r="C43" s="517"/>
      <c r="D43" s="517"/>
      <c r="E43" s="517"/>
      <c r="M43" s="518"/>
    </row>
    <row r="44" spans="1:13" ht="18" customHeight="1" x14ac:dyDescent="0.4">
      <c r="B44" s="3" t="s">
        <v>751</v>
      </c>
      <c r="M44" s="518"/>
    </row>
    <row r="45" spans="1:13" ht="18" customHeight="1" x14ac:dyDescent="0.35">
      <c r="B45" s="518" t="s">
        <v>780</v>
      </c>
      <c r="C45" s="517" t="str">
        <f>IFERROR(LEFT(Var_Neo_AfsprControles,LEN(Var_Neo_AfsprControles)-3),"")</f>
        <v/>
      </c>
      <c r="M45" s="518"/>
    </row>
    <row r="46" spans="1:13" ht="18" customHeight="1" x14ac:dyDescent="0.35">
      <c r="B46" s="518" t="s">
        <v>786</v>
      </c>
      <c r="C46" s="517" t="str">
        <f>IFERROR(LEFT(Var_Neo_AfsprOnderzoek,LEN(Var_Neo_AfsprOnderzoek)-3),"")</f>
        <v/>
      </c>
      <c r="M46" s="518"/>
    </row>
    <row r="47" spans="1:13" ht="18" customHeight="1" x14ac:dyDescent="0.35">
      <c r="B47" s="518" t="s">
        <v>1024</v>
      </c>
      <c r="C47" s="517" t="str">
        <f>IFERROR(LEFT(Var_Neo_AfsprInstellingen,LEN(Var_Neo_AfsprInstellingen)-3),"")</f>
        <v/>
      </c>
      <c r="M47" s="518"/>
    </row>
    <row r="48" spans="1:13" ht="18" customHeight="1" x14ac:dyDescent="0.35">
      <c r="B48" s="518" t="s">
        <v>718</v>
      </c>
      <c r="C48" t="str">
        <f>IFERROR(LEFT(Var_Neo_AfsprKweken,LEN(Var_Neo_AfsprKweken)-3),"")</f>
        <v/>
      </c>
      <c r="M48" s="518"/>
    </row>
    <row r="49" spans="2:13" ht="18" customHeight="1" x14ac:dyDescent="0.35">
      <c r="B49" s="518" t="s">
        <v>764</v>
      </c>
      <c r="C49" s="517" t="str">
        <f>IFERROR(LEFT(Var_Neo_AfsprOverig,LEN(Var_Neo_AfsprOverig)-3),"")</f>
        <v/>
      </c>
      <c r="M49" s="518"/>
    </row>
    <row r="50" spans="2:13" ht="18" customHeight="1" x14ac:dyDescent="0.35">
      <c r="M50" s="517"/>
    </row>
    <row r="51" spans="2:13" ht="18" customHeight="1" x14ac:dyDescent="0.35">
      <c r="M51" s="518"/>
    </row>
    <row r="52" spans="2:13" ht="18" customHeight="1" x14ac:dyDescent="0.35">
      <c r="M52" s="518"/>
    </row>
    <row r="53" spans="2:13" ht="18" customHeight="1" x14ac:dyDescent="0.35">
      <c r="M53" s="518"/>
    </row>
    <row r="54" spans="2:13" ht="18" customHeight="1" x14ac:dyDescent="0.35">
      <c r="M54" s="518"/>
    </row>
    <row r="55" spans="2:13" ht="18" customHeight="1" x14ac:dyDescent="0.35">
      <c r="M55" s="518"/>
    </row>
    <row r="56" spans="2:13" ht="18" customHeight="1" x14ac:dyDescent="0.35">
      <c r="M56" s="517"/>
    </row>
    <row r="57" spans="2:13" ht="18" customHeight="1" x14ac:dyDescent="0.35">
      <c r="M57" s="517"/>
    </row>
    <row r="58" spans="2:13" ht="18" customHeight="1" x14ac:dyDescent="0.35">
      <c r="M58" s="524"/>
    </row>
    <row r="59" spans="2:13" ht="18" customHeight="1" x14ac:dyDescent="0.35"/>
    <row r="60" spans="2:13" ht="18" customHeight="1" x14ac:dyDescent="0.35"/>
    <row r="61" spans="2:13" ht="18" customHeight="1" x14ac:dyDescent="0.35"/>
    <row r="62" spans="2:13" ht="18" customHeight="1" x14ac:dyDescent="0.35"/>
    <row r="63" spans="2:13" ht="18" customHeight="1" x14ac:dyDescent="0.35"/>
    <row r="64" spans="2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  <row r="78" ht="18" customHeight="1" x14ac:dyDescent="0.35"/>
    <row r="79" ht="18" customHeight="1" x14ac:dyDescent="0.35"/>
    <row r="80" ht="18" customHeight="1" x14ac:dyDescent="0.35"/>
    <row r="81" ht="18" customHeight="1" x14ac:dyDescent="0.35"/>
    <row r="82" ht="18" customHeight="1" x14ac:dyDescent="0.35"/>
    <row r="83" ht="18" customHeight="1" x14ac:dyDescent="0.35"/>
    <row r="84" ht="18" customHeight="1" x14ac:dyDescent="0.35"/>
    <row r="85" ht="18" customHeight="1" x14ac:dyDescent="0.35"/>
  </sheetData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19150</xdr:rowOff>
                  </from>
                  <to>
                    <xdr:col>5</xdr:col>
                    <xdr:colOff>1220796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16</xdr:row>
                    <xdr:rowOff>19150</xdr:rowOff>
                  </from>
                  <to>
                    <xdr:col>5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9575</xdr:colOff>
                    <xdr:row>17</xdr:row>
                    <xdr:rowOff>19150</xdr:rowOff>
                  </from>
                  <to>
                    <xdr:col>5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9575</xdr:colOff>
                    <xdr:row>20</xdr:row>
                    <xdr:rowOff>19150</xdr:rowOff>
                  </from>
                  <to>
                    <xdr:col>5</xdr:col>
                    <xdr:colOff>1230371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9575</xdr:colOff>
                    <xdr:row>21</xdr:row>
                    <xdr:rowOff>19150</xdr:rowOff>
                  </from>
                  <to>
                    <xdr:col>5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9575</xdr:colOff>
                    <xdr:row>8</xdr:row>
                    <xdr:rowOff>19150</xdr:rowOff>
                  </from>
                  <to>
                    <xdr:col>6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9575</xdr:colOff>
                    <xdr:row>9</xdr:row>
                    <xdr:rowOff>19150</xdr:rowOff>
                  </from>
                  <to>
                    <xdr:col>6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9575</xdr:colOff>
                    <xdr:row>10</xdr:row>
                    <xdr:rowOff>19150</xdr:rowOff>
                  </from>
                  <to>
                    <xdr:col>6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9575</xdr:colOff>
                    <xdr:row>7</xdr:row>
                    <xdr:rowOff>19150</xdr:rowOff>
                  </from>
                  <to>
                    <xdr:col>6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9575</xdr:colOff>
                    <xdr:row>12</xdr:row>
                    <xdr:rowOff>19150</xdr:rowOff>
                  </from>
                  <to>
                    <xdr:col>6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9575</xdr:colOff>
                    <xdr:row>14</xdr:row>
                    <xdr:rowOff>19150</xdr:rowOff>
                  </from>
                  <to>
                    <xdr:col>6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9575</xdr:colOff>
                    <xdr:row>15</xdr:row>
                    <xdr:rowOff>19150</xdr:rowOff>
                  </from>
                  <to>
                    <xdr:col>6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9575</xdr:colOff>
                    <xdr:row>17</xdr:row>
                    <xdr:rowOff>19150</xdr:rowOff>
                  </from>
                  <to>
                    <xdr:col>6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9575</xdr:colOff>
                    <xdr:row>19</xdr:row>
                    <xdr:rowOff>19150</xdr:rowOff>
                  </from>
                  <to>
                    <xdr:col>6</xdr:col>
                    <xdr:colOff>1230371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9575</xdr:colOff>
                    <xdr:row>18</xdr:row>
                    <xdr:rowOff>19150</xdr:rowOff>
                  </from>
                  <to>
                    <xdr:col>6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9575</xdr:colOff>
                    <xdr:row>21</xdr:row>
                    <xdr:rowOff>19150</xdr:rowOff>
                  </from>
                  <to>
                    <xdr:col>6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9575</xdr:colOff>
                    <xdr:row>22</xdr:row>
                    <xdr:rowOff>19150</xdr:rowOff>
                  </from>
                  <to>
                    <xdr:col>5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9575</xdr:colOff>
                    <xdr:row>22</xdr:row>
                    <xdr:rowOff>19150</xdr:rowOff>
                  </from>
                  <to>
                    <xdr:col>6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9575</xdr:colOff>
                    <xdr:row>23</xdr:row>
                    <xdr:rowOff>19150</xdr:rowOff>
                  </from>
                  <to>
                    <xdr:col>6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9575</xdr:colOff>
                    <xdr:row>24</xdr:row>
                    <xdr:rowOff>19150</xdr:rowOff>
                  </from>
                  <to>
                    <xdr:col>6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9575</xdr:colOff>
                    <xdr:row>25</xdr:row>
                    <xdr:rowOff>19150</xdr:rowOff>
                  </from>
                  <to>
                    <xdr:col>6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9575</xdr:colOff>
                    <xdr:row>26</xdr:row>
                    <xdr:rowOff>19150</xdr:rowOff>
                  </from>
                  <to>
                    <xdr:col>6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9575</xdr:colOff>
                    <xdr:row>27</xdr:row>
                    <xdr:rowOff>19150</xdr:rowOff>
                  </from>
                  <to>
                    <xdr:col>6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9575</xdr:colOff>
                    <xdr:row>28</xdr:row>
                    <xdr:rowOff>19150</xdr:rowOff>
                  </from>
                  <to>
                    <xdr:col>6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9575</xdr:colOff>
                    <xdr:row>29</xdr:row>
                    <xdr:rowOff>19150</xdr:rowOff>
                  </from>
                  <to>
                    <xdr:col>6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5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9575</xdr:colOff>
                    <xdr:row>6</xdr:row>
                    <xdr:rowOff>19150</xdr:rowOff>
                  </from>
                  <to>
                    <xdr:col>8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9575</xdr:colOff>
                    <xdr:row>8</xdr:row>
                    <xdr:rowOff>47874</xdr:rowOff>
                  </from>
                  <to>
                    <xdr:col>8</xdr:col>
                    <xdr:colOff>1752201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9575</xdr:colOff>
                    <xdr:row>9</xdr:row>
                    <xdr:rowOff>19150</xdr:rowOff>
                  </from>
                  <to>
                    <xdr:col>8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9575</xdr:colOff>
                    <xdr:row>10</xdr:row>
                    <xdr:rowOff>19150</xdr:rowOff>
                  </from>
                  <to>
                    <xdr:col>8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9575</xdr:colOff>
                    <xdr:row>11</xdr:row>
                    <xdr:rowOff>19150</xdr:rowOff>
                  </from>
                  <to>
                    <xdr:col>8</xdr:col>
                    <xdr:colOff>1407506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9575</xdr:colOff>
                    <xdr:row>12</xdr:row>
                    <xdr:rowOff>19150</xdr:rowOff>
                  </from>
                  <to>
                    <xdr:col>8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9575</xdr:colOff>
                    <xdr:row>13</xdr:row>
                    <xdr:rowOff>19150</xdr:rowOff>
                  </from>
                  <to>
                    <xdr:col>8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9575</xdr:colOff>
                    <xdr:row>14</xdr:row>
                    <xdr:rowOff>19150</xdr:rowOff>
                  </from>
                  <to>
                    <xdr:col>8</xdr:col>
                    <xdr:colOff>1666027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9575</xdr:colOff>
                    <xdr:row>15</xdr:row>
                    <xdr:rowOff>19150</xdr:rowOff>
                  </from>
                  <to>
                    <xdr:col>8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9575</xdr:colOff>
                    <xdr:row>17</xdr:row>
                    <xdr:rowOff>19150</xdr:rowOff>
                  </from>
                  <to>
                    <xdr:col>8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9575</xdr:colOff>
                    <xdr:row>16</xdr:row>
                    <xdr:rowOff>19150</xdr:rowOff>
                  </from>
                  <to>
                    <xdr:col>8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9575</xdr:colOff>
                    <xdr:row>22</xdr:row>
                    <xdr:rowOff>19150</xdr:rowOff>
                  </from>
                  <to>
                    <xdr:col>8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9575</xdr:colOff>
                    <xdr:row>22</xdr:row>
                    <xdr:rowOff>19150</xdr:rowOff>
                  </from>
                  <to>
                    <xdr:col>9</xdr:col>
                    <xdr:colOff>923975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9575</xdr:colOff>
                    <xdr:row>23</xdr:row>
                    <xdr:rowOff>19150</xdr:rowOff>
                  </from>
                  <to>
                    <xdr:col>9</xdr:col>
                    <xdr:colOff>923975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9575</xdr:colOff>
                    <xdr:row>24</xdr:row>
                    <xdr:rowOff>19150</xdr:rowOff>
                  </from>
                  <to>
                    <xdr:col>9</xdr:col>
                    <xdr:colOff>923975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9575</xdr:colOff>
                    <xdr:row>25</xdr:row>
                    <xdr:rowOff>19150</xdr:rowOff>
                  </from>
                  <to>
                    <xdr:col>9</xdr:col>
                    <xdr:colOff>923975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9575</xdr:colOff>
                    <xdr:row>18</xdr:row>
                    <xdr:rowOff>19150</xdr:rowOff>
                  </from>
                  <to>
                    <xdr:col>8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9575</xdr:colOff>
                    <xdr:row>19</xdr:row>
                    <xdr:rowOff>19150</xdr:rowOff>
                  </from>
                  <to>
                    <xdr:col>9</xdr:col>
                    <xdr:colOff>923975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9575</xdr:colOff>
                    <xdr:row>20</xdr:row>
                    <xdr:rowOff>19150</xdr:rowOff>
                  </from>
                  <to>
                    <xdr:col>9</xdr:col>
                    <xdr:colOff>923975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9575</xdr:colOff>
                    <xdr:row>21</xdr:row>
                    <xdr:rowOff>19150</xdr:rowOff>
                  </from>
                  <to>
                    <xdr:col>9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531405</xdr:colOff>
                    <xdr:row>11</xdr:row>
                    <xdr:rowOff>28725</xdr:rowOff>
                  </from>
                  <to>
                    <xdr:col>2</xdr:col>
                    <xdr:colOff>713328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751627</xdr:colOff>
                    <xdr:row>16</xdr:row>
                    <xdr:rowOff>38299</xdr:rowOff>
                  </from>
                  <to>
                    <xdr:col>9</xdr:col>
                    <xdr:colOff>933550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627154</xdr:colOff>
                    <xdr:row>16</xdr:row>
                    <xdr:rowOff>19150</xdr:rowOff>
                  </from>
                  <to>
                    <xdr:col>10</xdr:col>
                    <xdr:colOff>809076</xdr:colOff>
                    <xdr:row>16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9575</xdr:colOff>
                    <xdr:row>26</xdr:row>
                    <xdr:rowOff>19150</xdr:rowOff>
                  </from>
                  <to>
                    <xdr:col>1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9575</xdr:colOff>
                    <xdr:row>27</xdr:row>
                    <xdr:rowOff>19150</xdr:rowOff>
                  </from>
                  <to>
                    <xdr:col>1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28725</xdr:rowOff>
                  </from>
                  <to>
                    <xdr:col>1</xdr:col>
                    <xdr:colOff>1560704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9575</xdr:colOff>
                    <xdr:row>35</xdr:row>
                    <xdr:rowOff>19150</xdr:rowOff>
                  </from>
                  <to>
                    <xdr:col>1</xdr:col>
                    <xdr:colOff>1230371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9575</xdr:colOff>
                    <xdr:row>35</xdr:row>
                    <xdr:rowOff>9575</xdr:rowOff>
                  </from>
                  <to>
                    <xdr:col>2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9575</xdr:colOff>
                    <xdr:row>6</xdr:row>
                    <xdr:rowOff>19150</xdr:rowOff>
                  </from>
                  <to>
                    <xdr:col>1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1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9575</xdr:colOff>
                    <xdr:row>21</xdr:row>
                    <xdr:rowOff>9575</xdr:rowOff>
                  </from>
                  <to>
                    <xdr:col>2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19150</xdr:rowOff>
                  </from>
                  <to>
                    <xdr:col>1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1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9575</xdr:colOff>
                    <xdr:row>14</xdr:row>
                    <xdr:rowOff>19150</xdr:rowOff>
                  </from>
                  <to>
                    <xdr:col>3</xdr:col>
                    <xdr:colOff>923975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751627</xdr:colOff>
                    <xdr:row>26</xdr:row>
                    <xdr:rowOff>28725</xdr:rowOff>
                  </from>
                  <to>
                    <xdr:col>3</xdr:col>
                    <xdr:colOff>933550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9575</xdr:colOff>
                    <xdr:row>34</xdr:row>
                    <xdr:rowOff>9575</xdr:rowOff>
                  </from>
                  <to>
                    <xdr:col>4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9575</xdr:colOff>
                    <xdr:row>35</xdr:row>
                    <xdr:rowOff>9575</xdr:rowOff>
                  </from>
                  <to>
                    <xdr:col>4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9575</xdr:colOff>
                    <xdr:row>34</xdr:row>
                    <xdr:rowOff>9575</xdr:rowOff>
                  </from>
                  <to>
                    <xdr:col>3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9575</xdr:colOff>
                    <xdr:row>35</xdr:row>
                    <xdr:rowOff>9575</xdr:rowOff>
                  </from>
                  <to>
                    <xdr:col>3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9575</xdr:colOff>
                    <xdr:row>36</xdr:row>
                    <xdr:rowOff>19150</xdr:rowOff>
                  </from>
                  <to>
                    <xdr:col>1</xdr:col>
                    <xdr:colOff>1230371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9575</xdr:colOff>
                    <xdr:row>36</xdr:row>
                    <xdr:rowOff>9575</xdr:rowOff>
                  </from>
                  <to>
                    <xdr:col>2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9575</xdr:colOff>
                    <xdr:row>36</xdr:row>
                    <xdr:rowOff>9575</xdr:rowOff>
                  </from>
                  <to>
                    <xdr:col>4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9575</xdr:colOff>
                    <xdr:row>36</xdr:row>
                    <xdr:rowOff>9575</xdr:rowOff>
                  </from>
                  <to>
                    <xdr:col>3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9575</xdr:colOff>
                    <xdr:row>37</xdr:row>
                    <xdr:rowOff>19150</xdr:rowOff>
                  </from>
                  <to>
                    <xdr:col>1</xdr:col>
                    <xdr:colOff>1230371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9575</xdr:colOff>
                    <xdr:row>39</xdr:row>
                    <xdr:rowOff>19150</xdr:rowOff>
                  </from>
                  <to>
                    <xdr:col>1</xdr:col>
                    <xdr:colOff>1230371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9575</xdr:colOff>
                    <xdr:row>38</xdr:row>
                    <xdr:rowOff>19150</xdr:rowOff>
                  </from>
                  <to>
                    <xdr:col>1</xdr:col>
                    <xdr:colOff>1230371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9575</xdr:colOff>
                    <xdr:row>37</xdr:row>
                    <xdr:rowOff>19150</xdr:rowOff>
                  </from>
                  <to>
                    <xdr:col>3</xdr:col>
                    <xdr:colOff>143623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9575</xdr:colOff>
                    <xdr:row>38</xdr:row>
                    <xdr:rowOff>19150</xdr:rowOff>
                  </from>
                  <to>
                    <xdr:col>3</xdr:col>
                    <xdr:colOff>143623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9575</xdr:colOff>
                    <xdr:row>39</xdr:row>
                    <xdr:rowOff>19150</xdr:rowOff>
                  </from>
                  <to>
                    <xdr:col>3</xdr:col>
                    <xdr:colOff>143623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9575</xdr:colOff>
                    <xdr:row>40</xdr:row>
                    <xdr:rowOff>9575</xdr:rowOff>
                  </from>
                  <to>
                    <xdr:col>2</xdr:col>
                    <xdr:colOff>923975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531405</xdr:colOff>
                    <xdr:row>40</xdr:row>
                    <xdr:rowOff>28725</xdr:rowOff>
                  </from>
                  <to>
                    <xdr:col>3</xdr:col>
                    <xdr:colOff>713328</xdr:colOff>
                    <xdr:row>40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9575</xdr:colOff>
                    <xdr:row>40</xdr:row>
                    <xdr:rowOff>19150</xdr:rowOff>
                  </from>
                  <to>
                    <xdr:col>1</xdr:col>
                    <xdr:colOff>1230371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9575</xdr:colOff>
                    <xdr:row>26</xdr:row>
                    <xdr:rowOff>19150</xdr:rowOff>
                  </from>
                  <to>
                    <xdr:col>10</xdr:col>
                    <xdr:colOff>191497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627154</xdr:colOff>
                    <xdr:row>18</xdr:row>
                    <xdr:rowOff>28725</xdr:rowOff>
                  </from>
                  <to>
                    <xdr:col>9</xdr:col>
                    <xdr:colOff>809076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9575</xdr:colOff>
                    <xdr:row>7</xdr:row>
                    <xdr:rowOff>19150</xdr:rowOff>
                  </from>
                  <to>
                    <xdr:col>8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675028</xdr:colOff>
                    <xdr:row>7</xdr:row>
                    <xdr:rowOff>28725</xdr:rowOff>
                  </from>
                  <to>
                    <xdr:col>9</xdr:col>
                    <xdr:colOff>856951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85" x14ac:dyDescent="0.35"/>
  <cols>
    <col min="1" max="1" width="34.73046875" bestFit="1" customWidth="1"/>
    <col min="3" max="3" width="19.59765625" bestFit="1" customWidth="1"/>
    <col min="4" max="4" width="9.1328125" style="523"/>
    <col min="5" max="5" width="17.86328125" customWidth="1"/>
    <col min="7" max="7" width="37.3984375" bestFit="1" customWidth="1"/>
    <col min="8" max="8" width="9.1328125" style="517" customWidth="1"/>
    <col min="9" max="9" width="28" style="555" bestFit="1" customWidth="1"/>
    <col min="11" max="11" width="13.59765625" customWidth="1"/>
  </cols>
  <sheetData>
    <row r="1" spans="1:13" x14ac:dyDescent="0.35">
      <c r="A1" s="577"/>
    </row>
    <row r="6" spans="1:13" ht="13.2" x14ac:dyDescent="0.4">
      <c r="A6" s="591" t="s">
        <v>780</v>
      </c>
      <c r="E6" s="3" t="s">
        <v>718</v>
      </c>
      <c r="I6" s="553" t="s">
        <v>764</v>
      </c>
    </row>
    <row r="7" spans="1:13" x14ac:dyDescent="0.35">
      <c r="A7" s="518" t="s">
        <v>713</v>
      </c>
      <c r="B7" s="577"/>
      <c r="E7" t="s">
        <v>720</v>
      </c>
      <c r="F7" s="577"/>
      <c r="I7" s="554" t="s">
        <v>750</v>
      </c>
      <c r="J7" s="577"/>
    </row>
    <row r="8" spans="1:13" x14ac:dyDescent="0.35">
      <c r="A8" s="518" t="s">
        <v>297</v>
      </c>
      <c r="B8" s="577"/>
      <c r="C8" s="583"/>
      <c r="D8" s="821"/>
      <c r="E8" t="s">
        <v>721</v>
      </c>
      <c r="F8" s="577"/>
      <c r="G8" t="s">
        <v>722</v>
      </c>
      <c r="H8" s="577"/>
      <c r="I8" s="554" t="s">
        <v>942</v>
      </c>
      <c r="J8" s="577"/>
      <c r="M8" s="517"/>
    </row>
    <row r="9" spans="1:13" x14ac:dyDescent="0.35">
      <c r="A9" s="518" t="s">
        <v>142</v>
      </c>
      <c r="B9" s="577"/>
      <c r="C9" s="577"/>
      <c r="D9" s="578"/>
      <c r="G9" t="s">
        <v>723</v>
      </c>
      <c r="H9" s="577"/>
      <c r="I9" s="554" t="s">
        <v>758</v>
      </c>
      <c r="J9" s="577"/>
      <c r="M9" s="517"/>
    </row>
    <row r="10" spans="1:13" x14ac:dyDescent="0.35">
      <c r="A10" s="518" t="s">
        <v>704</v>
      </c>
      <c r="B10" s="577"/>
      <c r="G10" t="s">
        <v>724</v>
      </c>
      <c r="H10" s="577"/>
      <c r="I10" s="554" t="s">
        <v>714</v>
      </c>
      <c r="J10" s="577"/>
      <c r="M10" s="517"/>
    </row>
    <row r="11" spans="1:13" x14ac:dyDescent="0.35">
      <c r="A11" s="518" t="s">
        <v>838</v>
      </c>
      <c r="B11" s="577"/>
      <c r="C11" s="518" t="s">
        <v>782</v>
      </c>
      <c r="D11" s="578"/>
      <c r="G11" t="s">
        <v>725</v>
      </c>
      <c r="H11" s="577"/>
      <c r="I11" s="554"/>
      <c r="J11" s="577"/>
      <c r="M11" s="517"/>
    </row>
    <row r="12" spans="1:13" x14ac:dyDescent="0.35">
      <c r="A12" s="518" t="s">
        <v>840</v>
      </c>
      <c r="B12" s="705"/>
      <c r="C12" s="550" t="s">
        <v>783</v>
      </c>
      <c r="D12" s="578"/>
      <c r="E12" s="518" t="s">
        <v>726</v>
      </c>
      <c r="F12" s="577"/>
      <c r="I12" s="554" t="s">
        <v>759</v>
      </c>
      <c r="J12" s="577"/>
      <c r="M12" s="517"/>
    </row>
    <row r="13" spans="1:13" x14ac:dyDescent="0.35">
      <c r="C13" s="518" t="s">
        <v>784</v>
      </c>
      <c r="D13" s="578"/>
      <c r="E13" s="518" t="s">
        <v>727</v>
      </c>
      <c r="F13" s="577"/>
      <c r="G13" t="s">
        <v>734</v>
      </c>
      <c r="H13" s="577"/>
      <c r="I13" s="554" t="s">
        <v>710</v>
      </c>
      <c r="J13" s="577"/>
      <c r="M13" s="517"/>
    </row>
    <row r="14" spans="1:13" x14ac:dyDescent="0.35">
      <c r="C14" s="518" t="s">
        <v>785</v>
      </c>
      <c r="D14" s="578"/>
      <c r="E14" s="518" t="s">
        <v>728</v>
      </c>
      <c r="F14" s="577"/>
      <c r="I14" s="554" t="s">
        <v>711</v>
      </c>
      <c r="J14" s="577"/>
      <c r="M14" s="517"/>
    </row>
    <row r="15" spans="1:13" x14ac:dyDescent="0.35">
      <c r="A15" s="518" t="s">
        <v>839</v>
      </c>
      <c r="B15" s="577"/>
      <c r="E15" s="518" t="s">
        <v>729</v>
      </c>
      <c r="F15" s="577"/>
      <c r="G15" t="s">
        <v>735</v>
      </c>
      <c r="H15" s="577"/>
      <c r="I15" s="554" t="s">
        <v>712</v>
      </c>
      <c r="J15" s="577"/>
      <c r="M15" s="517"/>
    </row>
    <row r="16" spans="1:13" x14ac:dyDescent="0.35">
      <c r="A16" t="s">
        <v>706</v>
      </c>
      <c r="B16" s="577"/>
      <c r="E16" s="517"/>
      <c r="G16" t="s">
        <v>736</v>
      </c>
      <c r="H16" s="577"/>
      <c r="I16" s="554" t="s">
        <v>763</v>
      </c>
      <c r="J16" s="577"/>
      <c r="M16" s="517"/>
    </row>
    <row r="17" spans="1:13" x14ac:dyDescent="0.35">
      <c r="A17" s="518" t="s">
        <v>705</v>
      </c>
      <c r="B17" s="577"/>
      <c r="E17" s="518" t="s">
        <v>424</v>
      </c>
      <c r="F17" s="577"/>
      <c r="I17" s="554" t="s">
        <v>943</v>
      </c>
      <c r="J17" s="577"/>
      <c r="K17" s="583"/>
      <c r="L17" s="583"/>
      <c r="M17" s="517"/>
    </row>
    <row r="18" spans="1:13" x14ac:dyDescent="0.35">
      <c r="A18" s="518" t="s">
        <v>709</v>
      </c>
      <c r="B18" s="577"/>
      <c r="C18" s="577"/>
      <c r="D18" s="578"/>
      <c r="E18" s="518" t="s">
        <v>730</v>
      </c>
      <c r="F18" s="577"/>
      <c r="G18" t="s">
        <v>737</v>
      </c>
      <c r="H18" s="577"/>
      <c r="I18" s="554" t="s">
        <v>424</v>
      </c>
      <c r="J18" s="577"/>
      <c r="M18" s="517"/>
    </row>
    <row r="19" spans="1:13" x14ac:dyDescent="0.35">
      <c r="A19" s="518" t="s">
        <v>707</v>
      </c>
      <c r="B19" s="577"/>
      <c r="E19" s="517"/>
      <c r="G19" t="s">
        <v>738</v>
      </c>
      <c r="H19" s="577"/>
      <c r="I19" s="554" t="s">
        <v>760</v>
      </c>
      <c r="J19" s="577"/>
      <c r="M19" s="517"/>
    </row>
    <row r="20" spans="1:13" x14ac:dyDescent="0.35">
      <c r="E20" s="517"/>
      <c r="G20" t="s">
        <v>739</v>
      </c>
      <c r="H20" s="577"/>
      <c r="I20" s="554" t="s">
        <v>944</v>
      </c>
      <c r="J20" s="577"/>
      <c r="K20" s="822"/>
      <c r="L20" s="583"/>
      <c r="M20" s="517"/>
    </row>
    <row r="21" spans="1:13" ht="13.2" x14ac:dyDescent="0.4">
      <c r="A21" s="3" t="s">
        <v>786</v>
      </c>
      <c r="B21" s="577"/>
      <c r="E21" s="518" t="s">
        <v>731</v>
      </c>
      <c r="F21" s="577"/>
      <c r="I21" s="554"/>
      <c r="J21" s="517"/>
      <c r="K21" s="518" t="s">
        <v>945</v>
      </c>
      <c r="L21" s="577"/>
      <c r="M21" s="517"/>
    </row>
    <row r="22" spans="1:13" x14ac:dyDescent="0.35">
      <c r="A22" s="518" t="s">
        <v>719</v>
      </c>
      <c r="B22" s="577"/>
      <c r="C22" t="str">
        <f>IF(OR(D22=0,D22=1,D22=""),"",INDEX(tbl_Ped_aEEG,D22,1))</f>
        <v/>
      </c>
      <c r="D22" s="578"/>
      <c r="E22" s="518" t="s">
        <v>732</v>
      </c>
      <c r="F22" s="577"/>
      <c r="G22" t="s">
        <v>740</v>
      </c>
      <c r="H22" s="577"/>
      <c r="I22" s="554"/>
      <c r="J22" s="517"/>
      <c r="K22" s="518" t="s">
        <v>333</v>
      </c>
      <c r="L22" s="577"/>
      <c r="M22" s="517"/>
    </row>
    <row r="23" spans="1:13" x14ac:dyDescent="0.35">
      <c r="A23" s="518" t="s">
        <v>425</v>
      </c>
      <c r="B23" s="577"/>
      <c r="E23" s="518" t="s">
        <v>733</v>
      </c>
      <c r="F23" s="577"/>
      <c r="G23" t="s">
        <v>741</v>
      </c>
      <c r="H23" s="577"/>
      <c r="I23" s="554"/>
      <c r="J23" s="517"/>
      <c r="K23" s="518" t="s">
        <v>946</v>
      </c>
      <c r="L23" s="577"/>
      <c r="M23" s="517"/>
    </row>
    <row r="24" spans="1:13" x14ac:dyDescent="0.35">
      <c r="A24" s="518" t="s">
        <v>33</v>
      </c>
      <c r="B24" s="577"/>
      <c r="E24" s="517"/>
      <c r="G24" t="s">
        <v>742</v>
      </c>
      <c r="H24" s="577"/>
      <c r="I24" s="554" t="s">
        <v>788</v>
      </c>
      <c r="J24" s="577"/>
      <c r="K24" s="518" t="s">
        <v>789</v>
      </c>
      <c r="L24" s="577"/>
      <c r="M24" s="517"/>
    </row>
    <row r="25" spans="1:13" x14ac:dyDescent="0.35">
      <c r="A25" s="518" t="s">
        <v>756</v>
      </c>
      <c r="B25" s="577"/>
      <c r="E25" s="517"/>
      <c r="G25" t="s">
        <v>743</v>
      </c>
      <c r="H25" s="577"/>
      <c r="I25" s="554"/>
      <c r="K25" s="518" t="s">
        <v>790</v>
      </c>
      <c r="L25" s="577"/>
      <c r="M25" s="517"/>
    </row>
    <row r="26" spans="1:13" x14ac:dyDescent="0.35">
      <c r="A26" s="518" t="s">
        <v>757</v>
      </c>
      <c r="B26" s="577"/>
      <c r="E26" s="517"/>
      <c r="G26" t="s">
        <v>744</v>
      </c>
      <c r="H26" s="577"/>
      <c r="I26" s="554"/>
      <c r="K26" s="518" t="s">
        <v>791</v>
      </c>
      <c r="L26" s="577"/>
      <c r="M26" s="517"/>
    </row>
    <row r="27" spans="1:13" x14ac:dyDescent="0.35">
      <c r="A27" s="518" t="s">
        <v>426</v>
      </c>
      <c r="B27" s="577"/>
      <c r="C27" t="str">
        <f>REPLACE(INDEX(tbl_Ped_VertrekTijden,D27,2),1,1,"")</f>
        <v>12:00</v>
      </c>
      <c r="D27" s="578">
        <v>50</v>
      </c>
      <c r="E27" s="517"/>
      <c r="G27" t="s">
        <v>745</v>
      </c>
      <c r="H27" s="577"/>
      <c r="I27" s="554"/>
      <c r="K27" s="518" t="s">
        <v>792</v>
      </c>
      <c r="L27" s="577"/>
      <c r="M27" s="517"/>
    </row>
    <row r="28" spans="1:13" x14ac:dyDescent="0.35">
      <c r="A28" s="518" t="s">
        <v>841</v>
      </c>
      <c r="B28" s="577"/>
      <c r="E28" s="517"/>
      <c r="G28" t="s">
        <v>746</v>
      </c>
      <c r="H28" s="577"/>
      <c r="I28" s="554"/>
      <c r="K28" s="518" t="s">
        <v>308</v>
      </c>
      <c r="L28" s="577"/>
    </row>
    <row r="29" spans="1:13" x14ac:dyDescent="0.35">
      <c r="A29" s="518" t="s">
        <v>842</v>
      </c>
      <c r="B29" s="577"/>
      <c r="E29" s="517"/>
      <c r="G29" t="s">
        <v>747</v>
      </c>
      <c r="H29" s="577"/>
      <c r="I29" s="554" t="s">
        <v>605</v>
      </c>
      <c r="J29" s="577"/>
      <c r="K29" s="577"/>
    </row>
    <row r="30" spans="1:13" x14ac:dyDescent="0.35">
      <c r="A30" s="518" t="s">
        <v>708</v>
      </c>
      <c r="B30" s="577"/>
      <c r="E30" s="517"/>
      <c r="G30" t="s">
        <v>748</v>
      </c>
      <c r="H30" s="577"/>
      <c r="I30" s="554"/>
    </row>
    <row r="31" spans="1:13" x14ac:dyDescent="0.35">
      <c r="A31" s="518" t="s">
        <v>32</v>
      </c>
      <c r="B31" s="577"/>
      <c r="E31" s="518" t="s">
        <v>749</v>
      </c>
      <c r="F31" s="577"/>
      <c r="G31" s="583"/>
      <c r="H31" s="518"/>
      <c r="I31" s="554"/>
    </row>
    <row r="32" spans="1:13" ht="13.2" x14ac:dyDescent="0.4">
      <c r="A32" s="518" t="s">
        <v>19</v>
      </c>
      <c r="B32" s="577"/>
      <c r="E32" s="3"/>
      <c r="I32" s="554"/>
    </row>
    <row r="33" spans="1:9" ht="13.2" x14ac:dyDescent="0.4">
      <c r="A33" s="3" t="s">
        <v>1024</v>
      </c>
      <c r="B33" s="517"/>
      <c r="C33" s="517"/>
      <c r="E33" s="517"/>
      <c r="F33" s="517"/>
      <c r="G33" s="517"/>
      <c r="I33" s="554"/>
    </row>
    <row r="34" spans="1:9" x14ac:dyDescent="0.35">
      <c r="A34" s="518" t="s">
        <v>843</v>
      </c>
      <c r="B34" s="577"/>
      <c r="C34" s="517" t="str">
        <f>IF(OR(D34=0,D34=1,D34=""),"",INDEX(tbl_Ped_DrainLokatie,D34,0))</f>
        <v/>
      </c>
      <c r="D34" s="578"/>
      <c r="E34" t="str">
        <f>IF(OR(D22=0,D22=""),"",INDEX(tbl_Ped_aEEG,D22,1))</f>
        <v/>
      </c>
      <c r="I34" s="554"/>
    </row>
    <row r="35" spans="1:9" x14ac:dyDescent="0.35">
      <c r="C35" s="517" t="str">
        <f>IF(OR(D35=0,D35=1,D35=""),"",INDEX(tbl_Ped_DrainModus,D35,0))</f>
        <v/>
      </c>
      <c r="D35" s="578"/>
      <c r="I35" s="554"/>
    </row>
    <row r="36" spans="1:9" x14ac:dyDescent="0.35">
      <c r="C36" s="517" t="str">
        <f>IF(OR(D36=0,D36=1,D36=""),"",INDEX(tbl_Ped_DrainZuig,D36,0))</f>
        <v/>
      </c>
      <c r="D36" s="578"/>
      <c r="I36" s="554"/>
    </row>
    <row r="37" spans="1:9" x14ac:dyDescent="0.35">
      <c r="A37" s="518" t="s">
        <v>941</v>
      </c>
      <c r="B37" s="577"/>
      <c r="C37" s="517" t="str">
        <f>IF(OR(D37=0,D37=1,D37=""),"",INDEX(tbl_Ped_DrainLokatie,D37,0))</f>
        <v/>
      </c>
      <c r="D37" s="578"/>
      <c r="E37" s="517"/>
    </row>
    <row r="38" spans="1:9" x14ac:dyDescent="0.35">
      <c r="A38" s="517"/>
      <c r="B38" s="517"/>
      <c r="C38" s="517" t="str">
        <f>IF(OR(D38=0,D38=1,D38=""),"",INDEX(tbl_Ped_DrainModus,D38,0))</f>
        <v/>
      </c>
      <c r="D38" s="578"/>
    </row>
    <row r="39" spans="1:9" x14ac:dyDescent="0.35">
      <c r="A39" s="517"/>
      <c r="B39" s="517"/>
      <c r="C39" s="517" t="str">
        <f>IF(OR(D39=0,D39=1,D39=""),"",INDEX(tbl_Ped_DrainZuig,D39,0))</f>
        <v/>
      </c>
      <c r="D39" s="578"/>
    </row>
    <row r="40" spans="1:9" x14ac:dyDescent="0.35">
      <c r="A40" s="518" t="s">
        <v>1027</v>
      </c>
      <c r="B40" s="577"/>
      <c r="C40" s="517" t="str">
        <f>IF(OR(D40=0,D40=1,D40=""),"",INDEX(tbl_Ped_DrainLokatie,D40,0))</f>
        <v/>
      </c>
      <c r="D40" s="578"/>
      <c r="E40" s="517"/>
    </row>
    <row r="41" spans="1:9" x14ac:dyDescent="0.35">
      <c r="C41" s="517" t="str">
        <f>IF(OR(D41=0,D41=1,D41=""),"",INDEX(tbl_Ped_DrainModus,D41,0))</f>
        <v/>
      </c>
      <c r="D41" s="578"/>
    </row>
    <row r="42" spans="1:9" x14ac:dyDescent="0.35">
      <c r="C42" s="517" t="str">
        <f>IF(OR(D42=0,D42=1,D42=""),"",INDEX(tbl_Ped_DrainZuig,D42,0))</f>
        <v/>
      </c>
      <c r="D42" s="578"/>
    </row>
    <row r="43" spans="1:9" x14ac:dyDescent="0.35">
      <c r="A43" s="554" t="s">
        <v>762</v>
      </c>
      <c r="B43" s="577"/>
      <c r="C43" s="518" t="s">
        <v>1028</v>
      </c>
      <c r="D43" s="578"/>
      <c r="E43" s="517"/>
    </row>
    <row r="44" spans="1:9" x14ac:dyDescent="0.35">
      <c r="A44" s="518" t="s">
        <v>960</v>
      </c>
      <c r="B44" s="577"/>
      <c r="C44" s="518" t="s">
        <v>1028</v>
      </c>
      <c r="D44" s="578"/>
      <c r="E44" s="517"/>
    </row>
    <row r="45" spans="1:9" x14ac:dyDescent="0.35">
      <c r="A45" s="554" t="s">
        <v>761</v>
      </c>
      <c r="B45" s="577"/>
      <c r="C45" s="518" t="s">
        <v>1028</v>
      </c>
      <c r="D45" s="578"/>
      <c r="E45" s="517"/>
    </row>
    <row r="46" spans="1:9" x14ac:dyDescent="0.35">
      <c r="A46" s="518" t="s">
        <v>1025</v>
      </c>
      <c r="B46" s="577"/>
      <c r="C46" t="str">
        <f>IF(OR(D46=0,D46=1,D46=""),"",INDEX(tbl_Ped_LiquorDrain,D46,0))</f>
        <v/>
      </c>
      <c r="D46" s="578"/>
      <c r="E46" s="517"/>
    </row>
    <row r="47" spans="1:9" x14ac:dyDescent="0.35">
      <c r="C47" s="517" t="s">
        <v>1026</v>
      </c>
      <c r="D47" s="578"/>
    </row>
    <row r="55" spans="1:3" ht="13.2" x14ac:dyDescent="0.4">
      <c r="A55" s="3" t="s">
        <v>751</v>
      </c>
    </row>
    <row r="56" spans="1:3" x14ac:dyDescent="0.35">
      <c r="A56" s="518" t="s">
        <v>780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35">
      <c r="A57" s="518" t="s">
        <v>786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35">
      <c r="A58" s="518" t="s">
        <v>1024</v>
      </c>
      <c r="B58" s="517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517"/>
    </row>
    <row r="59" spans="1:3" x14ac:dyDescent="0.35">
      <c r="A59" s="518" t="s">
        <v>718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35">
      <c r="A60" s="518" t="s">
        <v>764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35">
      <c r="A67" s="518"/>
    </row>
    <row r="69" spans="1:1" x14ac:dyDescent="0.35">
      <c r="A69" s="518"/>
    </row>
    <row r="70" spans="1:1" x14ac:dyDescent="0.35">
      <c r="A70" s="517"/>
    </row>
    <row r="71" spans="1:1" x14ac:dyDescent="0.35">
      <c r="A71" s="518"/>
    </row>
    <row r="72" spans="1:1" x14ac:dyDescent="0.35">
      <c r="A72" s="518"/>
    </row>
    <row r="73" spans="1:1" x14ac:dyDescent="0.35">
      <c r="A73" s="518"/>
    </row>
    <row r="74" spans="1:1" x14ac:dyDescent="0.35">
      <c r="A74" s="518"/>
    </row>
    <row r="75" spans="1:1" x14ac:dyDescent="0.35">
      <c r="A75" s="518"/>
    </row>
    <row r="76" spans="1:1" x14ac:dyDescent="0.35">
      <c r="A76" s="518"/>
    </row>
    <row r="77" spans="1:1" x14ac:dyDescent="0.35">
      <c r="A77" s="518"/>
    </row>
    <row r="78" spans="1:1" x14ac:dyDescent="0.35">
      <c r="A78" s="518"/>
    </row>
    <row r="79" spans="1:1" x14ac:dyDescent="0.35">
      <c r="A79" s="518"/>
    </row>
    <row r="80" spans="1:1" x14ac:dyDescent="0.35">
      <c r="A80" s="518"/>
    </row>
    <row r="81" spans="1:1" x14ac:dyDescent="0.35">
      <c r="A81" s="518"/>
    </row>
    <row r="82" spans="1:1" x14ac:dyDescent="0.35">
      <c r="A82" s="518"/>
    </row>
    <row r="83" spans="1:1" x14ac:dyDescent="0.35">
      <c r="A83" s="517"/>
    </row>
    <row r="84" spans="1:1" x14ac:dyDescent="0.35">
      <c r="A84" s="518"/>
    </row>
    <row r="85" spans="1:1" x14ac:dyDescent="0.35">
      <c r="A85" s="518"/>
    </row>
    <row r="86" spans="1:1" x14ac:dyDescent="0.35">
      <c r="A86" s="522"/>
    </row>
    <row r="87" spans="1:1" x14ac:dyDescent="0.35">
      <c r="A87" s="518"/>
    </row>
    <row r="88" spans="1:1" x14ac:dyDescent="0.35">
      <c r="A88" s="518"/>
    </row>
    <row r="89" spans="1:1" x14ac:dyDescent="0.35">
      <c r="A89" s="518"/>
    </row>
    <row r="90" spans="1:1" x14ac:dyDescent="0.35">
      <c r="A90" s="518"/>
    </row>
    <row r="91" spans="1:1" x14ac:dyDescent="0.35">
      <c r="A91" s="518"/>
    </row>
    <row r="92" spans="1:1" x14ac:dyDescent="0.35">
      <c r="A92" s="518"/>
    </row>
    <row r="93" spans="1:1" x14ac:dyDescent="0.35">
      <c r="A93" s="518"/>
    </row>
    <row r="94" spans="1:1" x14ac:dyDescent="0.35">
      <c r="A94" s="518"/>
    </row>
    <row r="95" spans="1:1" x14ac:dyDescent="0.35">
      <c r="A95" s="518"/>
    </row>
    <row r="96" spans="1:1" x14ac:dyDescent="0.35">
      <c r="A96" s="518"/>
    </row>
    <row r="97" spans="1:1" x14ac:dyDescent="0.35">
      <c r="A97" s="518"/>
    </row>
    <row r="98" spans="1:1" x14ac:dyDescent="0.35">
      <c r="A98" s="518"/>
    </row>
    <row r="99" spans="1:1" x14ac:dyDescent="0.35">
      <c r="A99" s="518"/>
    </row>
    <row r="100" spans="1:1" x14ac:dyDescent="0.35">
      <c r="A100" s="518"/>
    </row>
    <row r="101" spans="1:1" x14ac:dyDescent="0.35">
      <c r="A101" s="518"/>
    </row>
    <row r="102" spans="1:1" x14ac:dyDescent="0.35">
      <c r="A102" s="518"/>
    </row>
    <row r="103" spans="1:1" x14ac:dyDescent="0.35">
      <c r="A103" s="518"/>
    </row>
    <row r="104" spans="1:1" x14ac:dyDescent="0.35">
      <c r="A104" s="518"/>
    </row>
    <row r="105" spans="1:1" x14ac:dyDescent="0.35">
      <c r="A105" s="518"/>
    </row>
    <row r="106" spans="1:1" x14ac:dyDescent="0.35">
      <c r="A106" s="518"/>
    </row>
    <row r="107" spans="1:1" x14ac:dyDescent="0.35">
      <c r="A107" s="517"/>
    </row>
    <row r="108" spans="1:1" x14ac:dyDescent="0.35">
      <c r="A108" s="517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 activeCell="D5" sqref="D5"/>
    </sheetView>
  </sheetViews>
  <sheetFormatPr defaultColWidth="9.1328125" defaultRowHeight="12.85" x14ac:dyDescent="0.35"/>
  <cols>
    <col min="1" max="1" width="3.73046875" style="531" customWidth="1"/>
    <col min="2" max="13" width="10.73046875" style="531" customWidth="1"/>
    <col min="14" max="15" width="2.1328125" style="531" customWidth="1"/>
    <col min="16" max="21" width="10.73046875" style="531" customWidth="1"/>
    <col min="22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328</v>
      </c>
      <c r="D2" s="253">
        <f ca="1">Var_AfspraakDatum</f>
        <v>42736</v>
      </c>
      <c r="E2" s="254"/>
      <c r="F2" s="252" t="s">
        <v>329</v>
      </c>
      <c r="G2" s="250"/>
      <c r="H2" s="255">
        <f>_Pat_OpnDatum</f>
        <v>42736</v>
      </c>
      <c r="I2" s="252" t="str">
        <f ca="1">"ICU-dag: "&amp;Var_AfspraakDatum-_Pat_OpnDatum+1</f>
        <v>ICU-dag: 1</v>
      </c>
      <c r="J2" s="258" t="str">
        <f>"Gewicht: "&amp;_Pat_Gewicht/10&amp;"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>Test, Test</v>
      </c>
      <c r="E3" s="257"/>
      <c r="F3" s="252" t="s">
        <v>336</v>
      </c>
      <c r="G3" s="250"/>
      <c r="H3" s="255">
        <f>__4_GebDatum</f>
        <v>42736</v>
      </c>
      <c r="J3" s="258" t="str">
        <f>"Lengte: "&amp;_Pat_Lengte&amp;"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371</v>
      </c>
      <c r="D4" s="258">
        <f>__0_PatNum</f>
        <v>123456</v>
      </c>
      <c r="E4" s="254"/>
      <c r="F4" s="252" t="s">
        <v>298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0 jaar en 0 maand(-en)</v>
      </c>
      <c r="I4" s="252"/>
      <c r="J4" s="252" t="str">
        <f>"Lichamelijk oppervlak: "&amp;ROUND(POWER(_Pat_Gewicht/10,0.425)*POWER(((_Pat_Lengte/100)*100),0.725)*0.007184,2)&amp;"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551</v>
      </c>
      <c r="D5" s="268" t="str">
        <f>__1_Bed</f>
        <v>Unit 1.2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0" customFormat="1" ht="13.2" x14ac:dyDescent="0.4">
      <c r="A6" s="841"/>
      <c r="B6" s="532"/>
    </row>
    <row r="7" spans="1:82" s="840" customFormat="1" ht="13.2" x14ac:dyDescent="0.4">
      <c r="A7" s="841"/>
      <c r="B7" s="532"/>
    </row>
    <row r="8" spans="1:82" ht="11.25" customHeight="1" x14ac:dyDescent="0.4">
      <c r="A8" s="593"/>
      <c r="B8" s="527" t="s">
        <v>159</v>
      </c>
      <c r="C8" s="528"/>
      <c r="D8" s="529" t="s">
        <v>769</v>
      </c>
      <c r="E8" s="528"/>
      <c r="F8" s="528"/>
      <c r="G8" s="526"/>
      <c r="H8" s="530"/>
      <c r="I8" s="526"/>
      <c r="J8" s="526"/>
      <c r="K8" s="526"/>
      <c r="L8" s="526"/>
      <c r="M8" s="526"/>
      <c r="N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767</v>
      </c>
      <c r="C10" s="533"/>
      <c r="D10" s="382" t="s">
        <v>770</v>
      </c>
      <c r="E10" s="533"/>
      <c r="F10" s="382" t="s">
        <v>771</v>
      </c>
      <c r="G10" s="533"/>
      <c r="H10" s="382" t="s">
        <v>772</v>
      </c>
      <c r="I10" s="533"/>
      <c r="J10" s="382" t="s">
        <v>160</v>
      </c>
      <c r="K10" s="533"/>
      <c r="L10" s="382" t="s">
        <v>773</v>
      </c>
      <c r="M10" s="533"/>
      <c r="N10" s="382"/>
      <c r="O10" s="533"/>
      <c r="P10" s="382" t="s">
        <v>1177</v>
      </c>
      <c r="Q10" s="382" t="s">
        <v>777</v>
      </c>
      <c r="R10" s="382" t="s">
        <v>1175</v>
      </c>
      <c r="S10" s="382" t="s">
        <v>777</v>
      </c>
      <c r="T10" s="382" t="s">
        <v>1178</v>
      </c>
      <c r="U10" s="382" t="s">
        <v>777</v>
      </c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  <c r="N12" s="534"/>
      <c r="O12" s="534"/>
      <c r="P12" s="534"/>
      <c r="Q12" s="534"/>
      <c r="R12" s="534"/>
      <c r="S12" s="534"/>
      <c r="T12" s="534"/>
      <c r="U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4"/>
      <c r="O13" s="534"/>
      <c r="P13" s="534"/>
      <c r="Q13" s="534"/>
      <c r="R13" s="534"/>
      <c r="S13" s="534"/>
      <c r="T13" s="534"/>
      <c r="U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  <c r="N14" s="534"/>
      <c r="O14" s="534"/>
      <c r="P14" s="534"/>
      <c r="Q14" s="534"/>
      <c r="R14" s="534"/>
      <c r="S14" s="534"/>
      <c r="T14" s="534"/>
      <c r="U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  <c r="N16" s="534"/>
      <c r="O16" s="534"/>
      <c r="P16" s="534"/>
      <c r="Q16" s="534"/>
      <c r="R16" s="534"/>
      <c r="S16" s="534"/>
      <c r="T16" s="534"/>
      <c r="U16" s="534"/>
    </row>
    <row r="17" spans="2:21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  <c r="N17" s="534"/>
      <c r="O17" s="534"/>
      <c r="P17" s="534"/>
      <c r="Q17" s="534"/>
      <c r="R17" s="534"/>
      <c r="S17" s="534"/>
      <c r="T17" s="534"/>
      <c r="U17" s="534"/>
    </row>
    <row r="18" spans="2:21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  <c r="N18" s="534"/>
      <c r="O18" s="534"/>
      <c r="P18" s="534"/>
      <c r="Q18" s="534"/>
      <c r="R18" s="534"/>
      <c r="S18" s="534"/>
      <c r="T18" s="534"/>
      <c r="U18" s="534"/>
    </row>
    <row r="19" spans="2:21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</row>
    <row r="20" spans="2:21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  <c r="N20" s="534"/>
      <c r="O20" s="534"/>
      <c r="P20" s="534"/>
      <c r="Q20" s="534"/>
      <c r="R20" s="534"/>
      <c r="S20" s="534"/>
      <c r="T20" s="534"/>
      <c r="U20" s="534"/>
    </row>
    <row r="21" spans="2:21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  <c r="N21" s="534"/>
      <c r="O21" s="534"/>
      <c r="P21" s="534"/>
      <c r="Q21" s="534"/>
      <c r="R21" s="534"/>
      <c r="S21" s="534"/>
      <c r="T21" s="534"/>
      <c r="U21" s="534"/>
    </row>
    <row r="22" spans="2:21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  <c r="N22" s="534"/>
      <c r="O22" s="534"/>
      <c r="P22" s="534"/>
      <c r="Q22" s="534"/>
      <c r="R22" s="534"/>
      <c r="S22" s="534"/>
      <c r="T22" s="534"/>
      <c r="U22" s="534"/>
    </row>
    <row r="23" spans="2:21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  <c r="N23" s="534"/>
      <c r="O23" s="534"/>
      <c r="P23" s="534"/>
      <c r="Q23" s="534"/>
      <c r="R23" s="534"/>
      <c r="S23" s="534"/>
      <c r="T23" s="534"/>
      <c r="U23" s="534"/>
    </row>
    <row r="24" spans="2:21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  <c r="U24" s="534"/>
    </row>
    <row r="25" spans="2:21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</row>
    <row r="26" spans="2:21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  <c r="N26" s="534"/>
      <c r="O26" s="534"/>
      <c r="P26" s="534"/>
      <c r="Q26" s="534"/>
      <c r="R26" s="534"/>
      <c r="S26" s="534"/>
      <c r="T26" s="534"/>
      <c r="U26" s="534"/>
    </row>
    <row r="27" spans="2:21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  <c r="N27" s="534"/>
      <c r="O27" s="534"/>
      <c r="P27" s="534"/>
      <c r="Q27" s="534"/>
      <c r="R27" s="534"/>
      <c r="S27" s="534"/>
      <c r="T27" s="534"/>
      <c r="U27" s="534"/>
    </row>
    <row r="28" spans="2:21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  <c r="N28" s="534"/>
      <c r="O28" s="534"/>
      <c r="P28" s="534"/>
      <c r="Q28" s="534"/>
      <c r="R28" s="534"/>
      <c r="S28" s="534"/>
      <c r="T28" s="534"/>
      <c r="U28" s="534"/>
    </row>
    <row r="29" spans="2:21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  <c r="N29" s="534"/>
      <c r="O29" s="534"/>
      <c r="P29" s="534"/>
      <c r="Q29" s="534"/>
      <c r="R29" s="534"/>
      <c r="S29" s="534"/>
      <c r="T29" s="534"/>
      <c r="U29" s="534"/>
    </row>
    <row r="30" spans="2:21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  <c r="N30" s="534"/>
      <c r="O30" s="534"/>
      <c r="P30" s="534"/>
      <c r="Q30" s="534"/>
      <c r="R30" s="534"/>
      <c r="S30" s="534"/>
      <c r="T30" s="534"/>
      <c r="U30" s="534"/>
    </row>
    <row r="31" spans="2:21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  <c r="N31" s="534"/>
      <c r="O31" s="534"/>
      <c r="P31" s="534"/>
      <c r="Q31" s="534"/>
      <c r="R31" s="534"/>
      <c r="S31" s="534"/>
      <c r="T31" s="534"/>
      <c r="U31" s="534"/>
    </row>
    <row r="32" spans="2:21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  <c r="N32" s="534"/>
      <c r="O32" s="534"/>
      <c r="P32" s="534"/>
      <c r="Q32" s="534"/>
      <c r="R32" s="534"/>
      <c r="S32" s="534"/>
      <c r="T32" s="534"/>
      <c r="U32" s="534"/>
    </row>
    <row r="33" spans="2:21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  <c r="N33" s="534"/>
      <c r="O33" s="534"/>
      <c r="P33" s="534"/>
      <c r="Q33" s="534"/>
      <c r="R33" s="534"/>
      <c r="S33" s="534"/>
      <c r="T33" s="534"/>
      <c r="U33" s="534"/>
    </row>
    <row r="34" spans="2:21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  <c r="N34" s="534"/>
      <c r="O34" s="534"/>
      <c r="P34" s="534"/>
      <c r="Q34" s="534"/>
      <c r="R34" s="534"/>
      <c r="S34" s="534"/>
      <c r="T34" s="534"/>
      <c r="U34" s="534"/>
    </row>
    <row r="35" spans="2:21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  <c r="N35" s="534"/>
      <c r="O35" s="534"/>
      <c r="P35" s="534"/>
      <c r="Q35" s="534"/>
      <c r="R35" s="534"/>
      <c r="S35" s="534"/>
      <c r="T35" s="534"/>
      <c r="U35" s="534"/>
    </row>
    <row r="36" spans="2:21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  <c r="N36" s="534"/>
      <c r="O36" s="534"/>
      <c r="P36" s="534"/>
      <c r="Q36" s="534"/>
      <c r="R36" s="534"/>
      <c r="S36" s="534"/>
      <c r="T36" s="534"/>
      <c r="U36" s="534"/>
    </row>
    <row r="37" spans="2:21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</row>
    <row r="38" spans="2:21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  <c r="N38" s="534"/>
      <c r="O38" s="534"/>
      <c r="P38" s="534"/>
      <c r="Q38" s="534"/>
      <c r="R38" s="534"/>
      <c r="S38" s="534"/>
      <c r="T38" s="534"/>
      <c r="U38" s="534"/>
    </row>
    <row r="39" spans="2:21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  <c r="N39" s="534"/>
      <c r="O39" s="534"/>
      <c r="P39" s="534"/>
      <c r="Q39" s="534"/>
      <c r="R39" s="534"/>
      <c r="S39" s="534"/>
      <c r="T39" s="534"/>
      <c r="U39" s="534"/>
    </row>
    <row r="40" spans="2:21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  <c r="N40" s="534"/>
      <c r="O40" s="534"/>
      <c r="P40" s="534"/>
      <c r="Q40" s="534"/>
      <c r="R40" s="534"/>
      <c r="S40" s="534"/>
      <c r="T40" s="534"/>
      <c r="U40" s="534"/>
    </row>
    <row r="41" spans="2:21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  <c r="N41" s="534"/>
      <c r="O41" s="534"/>
      <c r="P41" s="534"/>
      <c r="Q41" s="534"/>
      <c r="R41" s="534"/>
      <c r="S41" s="534"/>
      <c r="T41" s="534"/>
      <c r="U41" s="534"/>
    </row>
    <row r="42" spans="2:21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  <c r="N42" s="534"/>
      <c r="O42" s="534"/>
      <c r="P42" s="534"/>
      <c r="Q42" s="534"/>
      <c r="R42" s="534"/>
      <c r="S42" s="534"/>
      <c r="T42" s="534"/>
      <c r="U42" s="534"/>
    </row>
    <row r="43" spans="2:21" x14ac:dyDescent="0.35">
      <c r="B43" s="536" t="s">
        <v>315</v>
      </c>
      <c r="C43" s="531" t="str">
        <f>IF(_Neo_Lab_Opm=0,"",_Neo_Lab_Opm)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18</xdr:row>
                    <xdr:rowOff>0</xdr:rowOff>
                  </from>
                  <to>
                    <xdr:col>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18</xdr:row>
                    <xdr:rowOff>0</xdr:rowOff>
                  </from>
                  <to>
                    <xdr:col>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18</xdr:row>
                    <xdr:rowOff>0</xdr:rowOff>
                  </from>
                  <to>
                    <xdr:col>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47874</xdr:colOff>
                    <xdr:row>10</xdr:row>
                    <xdr:rowOff>0</xdr:rowOff>
                  </from>
                  <to>
                    <xdr:col>16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47874</xdr:colOff>
                    <xdr:row>13</xdr:row>
                    <xdr:rowOff>0</xdr:rowOff>
                  </from>
                  <to>
                    <xdr:col>16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38299</xdr:colOff>
                    <xdr:row>20</xdr:row>
                    <xdr:rowOff>0</xdr:rowOff>
                  </from>
                  <to>
                    <xdr:col>16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47874</xdr:colOff>
                    <xdr:row>36</xdr:row>
                    <xdr:rowOff>0</xdr:rowOff>
                  </from>
                  <to>
                    <xdr:col>16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0</xdr:rowOff>
                  </from>
                  <to>
                    <xdr:col>16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0</xdr:rowOff>
                  </from>
                  <to>
                    <xdr:col>16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38299</xdr:colOff>
                    <xdr:row>18</xdr:row>
                    <xdr:rowOff>0</xdr:rowOff>
                  </from>
                  <to>
                    <xdr:col>16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47874</xdr:colOff>
                    <xdr:row>34</xdr:row>
                    <xdr:rowOff>19150</xdr:rowOff>
                  </from>
                  <to>
                    <xdr:col>16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47874</xdr:colOff>
                    <xdr:row>38</xdr:row>
                    <xdr:rowOff>19150</xdr:rowOff>
                  </from>
                  <to>
                    <xdr:col>16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47874</xdr:colOff>
                    <xdr:row>12</xdr:row>
                    <xdr:rowOff>0</xdr:rowOff>
                  </from>
                  <to>
                    <xdr:col>16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18</xdr:row>
                    <xdr:rowOff>0</xdr:rowOff>
                  </from>
                  <to>
                    <xdr:col>4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47874</xdr:colOff>
                    <xdr:row>39</xdr:row>
                    <xdr:rowOff>19150</xdr:rowOff>
                  </from>
                  <to>
                    <xdr:col>16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47874</xdr:colOff>
                    <xdr:row>40</xdr:row>
                    <xdr:rowOff>19150</xdr:rowOff>
                  </from>
                  <to>
                    <xdr:col>16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21</xdr:row>
                    <xdr:rowOff>0</xdr:rowOff>
                  </from>
                  <to>
                    <xdr:col>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21</xdr:row>
                    <xdr:rowOff>0</xdr:rowOff>
                  </from>
                  <to>
                    <xdr:col>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21</xdr:row>
                    <xdr:rowOff>0</xdr:rowOff>
                  </from>
                  <to>
                    <xdr:col>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38299</xdr:colOff>
                    <xdr:row>21</xdr:row>
                    <xdr:rowOff>0</xdr:rowOff>
                  </from>
                  <to>
                    <xdr:col>16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21</xdr:row>
                    <xdr:rowOff>0</xdr:rowOff>
                  </from>
                  <to>
                    <xdr:col>4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0</xdr:rowOff>
                  </from>
                  <to>
                    <xdr:col>16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0</xdr:rowOff>
                  </from>
                  <to>
                    <xdr:col>16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47874</xdr:colOff>
                    <xdr:row>30</xdr:row>
                    <xdr:rowOff>0</xdr:rowOff>
                  </from>
                  <to>
                    <xdr:col>16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47874</xdr:colOff>
                    <xdr:row>31</xdr:row>
                    <xdr:rowOff>0</xdr:rowOff>
                  </from>
                  <to>
                    <xdr:col>16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0</xdr:rowOff>
                  </from>
                  <to>
                    <xdr:col>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0</xdr:rowOff>
                  </from>
                  <to>
                    <xdr:col>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0</xdr:rowOff>
                  </from>
                  <to>
                    <xdr:col>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47874</xdr:colOff>
                    <xdr:row>32</xdr:row>
                    <xdr:rowOff>0</xdr:rowOff>
                  </from>
                  <to>
                    <xdr:col>16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0</xdr:rowOff>
                  </from>
                  <to>
                    <xdr:col>4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47874</xdr:colOff>
                    <xdr:row>35</xdr:row>
                    <xdr:rowOff>0</xdr:rowOff>
                  </from>
                  <to>
                    <xdr:col>16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24</xdr:row>
                    <xdr:rowOff>19150</xdr:rowOff>
                  </from>
                  <to>
                    <xdr:col>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24</xdr:row>
                    <xdr:rowOff>19150</xdr:rowOff>
                  </from>
                  <to>
                    <xdr:col>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24</xdr:row>
                    <xdr:rowOff>19150</xdr:rowOff>
                  </from>
                  <to>
                    <xdr:col>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24</xdr:row>
                    <xdr:rowOff>19150</xdr:rowOff>
                  </from>
                  <to>
                    <xdr:col>16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24</xdr:row>
                    <xdr:rowOff>19150</xdr:rowOff>
                  </from>
                  <to>
                    <xdr:col>4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47874</xdr:colOff>
                    <xdr:row>10</xdr:row>
                    <xdr:rowOff>0</xdr:rowOff>
                  </from>
                  <to>
                    <xdr:col>10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47874</xdr:colOff>
                    <xdr:row>11</xdr:row>
                    <xdr:rowOff>0</xdr:rowOff>
                  </from>
                  <to>
                    <xdr:col>10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47874</xdr:colOff>
                    <xdr:row>13</xdr:row>
                    <xdr:rowOff>0</xdr:rowOff>
                  </from>
                  <to>
                    <xdr:col>10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47874</xdr:colOff>
                    <xdr:row>14</xdr:row>
                    <xdr:rowOff>0</xdr:rowOff>
                  </from>
                  <to>
                    <xdr:col>10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38299</xdr:colOff>
                    <xdr:row>20</xdr:row>
                    <xdr:rowOff>0</xdr:rowOff>
                  </from>
                  <to>
                    <xdr:col>10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47874</xdr:colOff>
                    <xdr:row>19</xdr:row>
                    <xdr:rowOff>0</xdr:rowOff>
                  </from>
                  <to>
                    <xdr:col>10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47874</xdr:colOff>
                    <xdr:row>36</xdr:row>
                    <xdr:rowOff>0</xdr:rowOff>
                  </from>
                  <to>
                    <xdr:col>10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47874</xdr:colOff>
                    <xdr:row>22</xdr:row>
                    <xdr:rowOff>0</xdr:rowOff>
                  </from>
                  <to>
                    <xdr:col>10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47874</xdr:colOff>
                    <xdr:row>25</xdr:row>
                    <xdr:rowOff>0</xdr:rowOff>
                  </from>
                  <to>
                    <xdr:col>10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47874</xdr:colOff>
                    <xdr:row>26</xdr:row>
                    <xdr:rowOff>0</xdr:rowOff>
                  </from>
                  <to>
                    <xdr:col>10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47874</xdr:colOff>
                    <xdr:row>27</xdr:row>
                    <xdr:rowOff>0</xdr:rowOff>
                  </from>
                  <to>
                    <xdr:col>10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38299</xdr:colOff>
                    <xdr:row>18</xdr:row>
                    <xdr:rowOff>0</xdr:rowOff>
                  </from>
                  <to>
                    <xdr:col>10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47874</xdr:colOff>
                    <xdr:row>34</xdr:row>
                    <xdr:rowOff>19150</xdr:rowOff>
                  </from>
                  <to>
                    <xdr:col>10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38299</xdr:colOff>
                    <xdr:row>18</xdr:row>
                    <xdr:rowOff>0</xdr:rowOff>
                  </from>
                  <to>
                    <xdr:col>12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47874</xdr:colOff>
                    <xdr:row>38</xdr:row>
                    <xdr:rowOff>19150</xdr:rowOff>
                  </from>
                  <to>
                    <xdr:col>10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47874</xdr:colOff>
                    <xdr:row>12</xdr:row>
                    <xdr:rowOff>0</xdr:rowOff>
                  </from>
                  <to>
                    <xdr:col>10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47874</xdr:colOff>
                    <xdr:row>23</xdr:row>
                    <xdr:rowOff>0</xdr:rowOff>
                  </from>
                  <to>
                    <xdr:col>10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47874</xdr:colOff>
                    <xdr:row>39</xdr:row>
                    <xdr:rowOff>19150</xdr:rowOff>
                  </from>
                  <to>
                    <xdr:col>10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47874</xdr:colOff>
                    <xdr:row>40</xdr:row>
                    <xdr:rowOff>19150</xdr:rowOff>
                  </from>
                  <to>
                    <xdr:col>10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47874</xdr:colOff>
                    <xdr:row>15</xdr:row>
                    <xdr:rowOff>0</xdr:rowOff>
                  </from>
                  <to>
                    <xdr:col>10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47874</xdr:colOff>
                    <xdr:row>17</xdr:row>
                    <xdr:rowOff>0</xdr:rowOff>
                  </from>
                  <to>
                    <xdr:col>10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38299</xdr:colOff>
                    <xdr:row>21</xdr:row>
                    <xdr:rowOff>0</xdr:rowOff>
                  </from>
                  <to>
                    <xdr:col>10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38299</xdr:colOff>
                    <xdr:row>21</xdr:row>
                    <xdr:rowOff>0</xdr:rowOff>
                  </from>
                  <to>
                    <xdr:col>12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47874</xdr:colOff>
                    <xdr:row>28</xdr:row>
                    <xdr:rowOff>0</xdr:rowOff>
                  </from>
                  <to>
                    <xdr:col>10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47874</xdr:colOff>
                    <xdr:row>29</xdr:row>
                    <xdr:rowOff>0</xdr:rowOff>
                  </from>
                  <to>
                    <xdr:col>10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47874</xdr:colOff>
                    <xdr:row>30</xdr:row>
                    <xdr:rowOff>0</xdr:rowOff>
                  </from>
                  <to>
                    <xdr:col>10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47874</xdr:colOff>
                    <xdr:row>31</xdr:row>
                    <xdr:rowOff>0</xdr:rowOff>
                  </from>
                  <to>
                    <xdr:col>10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47874</xdr:colOff>
                    <xdr:row>32</xdr:row>
                    <xdr:rowOff>0</xdr:rowOff>
                  </from>
                  <to>
                    <xdr:col>10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0</xdr:rowOff>
                  </from>
                  <to>
                    <xdr:col>12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47874</xdr:colOff>
                    <xdr:row>35</xdr:row>
                    <xdr:rowOff>0</xdr:rowOff>
                  </from>
                  <to>
                    <xdr:col>10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24</xdr:row>
                    <xdr:rowOff>19150</xdr:rowOff>
                  </from>
                  <to>
                    <xdr:col>10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24</xdr:row>
                    <xdr:rowOff>19150</xdr:rowOff>
                  </from>
                  <to>
                    <xdr:col>12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47874</xdr:colOff>
                    <xdr:row>16</xdr:row>
                    <xdr:rowOff>0</xdr:rowOff>
                  </from>
                  <to>
                    <xdr:col>10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47874</xdr:colOff>
                    <xdr:row>37</xdr:row>
                    <xdr:rowOff>0</xdr:rowOff>
                  </from>
                  <to>
                    <xdr:col>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37</xdr:row>
                    <xdr:rowOff>0</xdr:rowOff>
                  </from>
                  <to>
                    <xdr:col>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37</xdr:row>
                    <xdr:rowOff>0</xdr:rowOff>
                  </from>
                  <to>
                    <xdr:col>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47874</xdr:colOff>
                    <xdr:row>37</xdr:row>
                    <xdr:rowOff>0</xdr:rowOff>
                  </from>
                  <to>
                    <xdr:col>16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47874</xdr:colOff>
                    <xdr:row>37</xdr:row>
                    <xdr:rowOff>0</xdr:rowOff>
                  </from>
                  <to>
                    <xdr:col>4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47874</xdr:colOff>
                    <xdr:row>37</xdr:row>
                    <xdr:rowOff>0</xdr:rowOff>
                  </from>
                  <to>
                    <xdr:col>10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47874</xdr:colOff>
                    <xdr:row>37</xdr:row>
                    <xdr:rowOff>0</xdr:rowOff>
                  </from>
                  <to>
                    <xdr:col>12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33</xdr:row>
                    <xdr:rowOff>19150</xdr:rowOff>
                  </from>
                  <to>
                    <xdr:col>16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33</xdr:row>
                    <xdr:rowOff>19150</xdr:rowOff>
                  </from>
                  <to>
                    <xdr:col>10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47874</xdr:colOff>
                    <xdr:row>10</xdr:row>
                    <xdr:rowOff>0</xdr:rowOff>
                  </from>
                  <to>
                    <xdr:col>18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47874</xdr:colOff>
                    <xdr:row>11</xdr:row>
                    <xdr:rowOff>0</xdr:rowOff>
                  </from>
                  <to>
                    <xdr:col>18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47874</xdr:colOff>
                    <xdr:row>13</xdr:row>
                    <xdr:rowOff>0</xdr:rowOff>
                  </from>
                  <to>
                    <xdr:col>18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47874</xdr:colOff>
                    <xdr:row>14</xdr:row>
                    <xdr:rowOff>0</xdr:rowOff>
                  </from>
                  <to>
                    <xdr:col>18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38299</xdr:colOff>
                    <xdr:row>20</xdr:row>
                    <xdr:rowOff>0</xdr:rowOff>
                  </from>
                  <to>
                    <xdr:col>18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47874</xdr:colOff>
                    <xdr:row>19</xdr:row>
                    <xdr:rowOff>0</xdr:rowOff>
                  </from>
                  <to>
                    <xdr:col>18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47874</xdr:colOff>
                    <xdr:row>36</xdr:row>
                    <xdr:rowOff>0</xdr:rowOff>
                  </from>
                  <to>
                    <xdr:col>18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47874</xdr:colOff>
                    <xdr:row>22</xdr:row>
                    <xdr:rowOff>0</xdr:rowOff>
                  </from>
                  <to>
                    <xdr:col>18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47874</xdr:colOff>
                    <xdr:row>25</xdr:row>
                    <xdr:rowOff>0</xdr:rowOff>
                  </from>
                  <to>
                    <xdr:col>18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47874</xdr:colOff>
                    <xdr:row>26</xdr:row>
                    <xdr:rowOff>0</xdr:rowOff>
                  </from>
                  <to>
                    <xdr:col>18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47874</xdr:colOff>
                    <xdr:row>27</xdr:row>
                    <xdr:rowOff>0</xdr:rowOff>
                  </from>
                  <to>
                    <xdr:col>18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38299</xdr:colOff>
                    <xdr:row>18</xdr:row>
                    <xdr:rowOff>0</xdr:rowOff>
                  </from>
                  <to>
                    <xdr:col>18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47874</xdr:colOff>
                    <xdr:row>34</xdr:row>
                    <xdr:rowOff>19150</xdr:rowOff>
                  </from>
                  <to>
                    <xdr:col>18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47874</xdr:colOff>
                    <xdr:row>38</xdr:row>
                    <xdr:rowOff>19150</xdr:rowOff>
                  </from>
                  <to>
                    <xdr:col>18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47874</xdr:colOff>
                    <xdr:row>12</xdr:row>
                    <xdr:rowOff>0</xdr:rowOff>
                  </from>
                  <to>
                    <xdr:col>18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47874</xdr:colOff>
                    <xdr:row>23</xdr:row>
                    <xdr:rowOff>0</xdr:rowOff>
                  </from>
                  <to>
                    <xdr:col>18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47874</xdr:colOff>
                    <xdr:row>39</xdr:row>
                    <xdr:rowOff>19150</xdr:rowOff>
                  </from>
                  <to>
                    <xdr:col>18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47874</xdr:colOff>
                    <xdr:row>40</xdr:row>
                    <xdr:rowOff>19150</xdr:rowOff>
                  </from>
                  <to>
                    <xdr:col>18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47874</xdr:colOff>
                    <xdr:row>15</xdr:row>
                    <xdr:rowOff>0</xdr:rowOff>
                  </from>
                  <to>
                    <xdr:col>18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47874</xdr:colOff>
                    <xdr:row>17</xdr:row>
                    <xdr:rowOff>0</xdr:rowOff>
                  </from>
                  <to>
                    <xdr:col>18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38299</xdr:colOff>
                    <xdr:row>21</xdr:row>
                    <xdr:rowOff>0</xdr:rowOff>
                  </from>
                  <to>
                    <xdr:col>18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47874</xdr:colOff>
                    <xdr:row>28</xdr:row>
                    <xdr:rowOff>0</xdr:rowOff>
                  </from>
                  <to>
                    <xdr:col>18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47874</xdr:colOff>
                    <xdr:row>29</xdr:row>
                    <xdr:rowOff>0</xdr:rowOff>
                  </from>
                  <to>
                    <xdr:col>18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47874</xdr:colOff>
                    <xdr:row>30</xdr:row>
                    <xdr:rowOff>0</xdr:rowOff>
                  </from>
                  <to>
                    <xdr:col>18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47874</xdr:colOff>
                    <xdr:row>31</xdr:row>
                    <xdr:rowOff>0</xdr:rowOff>
                  </from>
                  <to>
                    <xdr:col>18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47874</xdr:colOff>
                    <xdr:row>32</xdr:row>
                    <xdr:rowOff>0</xdr:rowOff>
                  </from>
                  <to>
                    <xdr:col>18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47874</xdr:colOff>
                    <xdr:row>35</xdr:row>
                    <xdr:rowOff>0</xdr:rowOff>
                  </from>
                  <to>
                    <xdr:col>18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24</xdr:row>
                    <xdr:rowOff>19150</xdr:rowOff>
                  </from>
                  <to>
                    <xdr:col>18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47874</xdr:colOff>
                    <xdr:row>16</xdr:row>
                    <xdr:rowOff>0</xdr:rowOff>
                  </from>
                  <to>
                    <xdr:col>18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47874</xdr:colOff>
                    <xdr:row>37</xdr:row>
                    <xdr:rowOff>0</xdr:rowOff>
                  </from>
                  <to>
                    <xdr:col>18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33</xdr:row>
                    <xdr:rowOff>19150</xdr:rowOff>
                  </from>
                  <to>
                    <xdr:col>18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47874</xdr:colOff>
                    <xdr:row>10</xdr:row>
                    <xdr:rowOff>0</xdr:rowOff>
                  </from>
                  <to>
                    <xdr:col>20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47874</xdr:colOff>
                    <xdr:row>11</xdr:row>
                    <xdr:rowOff>0</xdr:rowOff>
                  </from>
                  <to>
                    <xdr:col>20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47874</xdr:colOff>
                    <xdr:row>13</xdr:row>
                    <xdr:rowOff>0</xdr:rowOff>
                  </from>
                  <to>
                    <xdr:col>20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47874</xdr:colOff>
                    <xdr:row>14</xdr:row>
                    <xdr:rowOff>0</xdr:rowOff>
                  </from>
                  <to>
                    <xdr:col>20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38299</xdr:colOff>
                    <xdr:row>20</xdr:row>
                    <xdr:rowOff>0</xdr:rowOff>
                  </from>
                  <to>
                    <xdr:col>20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47874</xdr:colOff>
                    <xdr:row>19</xdr:row>
                    <xdr:rowOff>0</xdr:rowOff>
                  </from>
                  <to>
                    <xdr:col>20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47874</xdr:colOff>
                    <xdr:row>36</xdr:row>
                    <xdr:rowOff>0</xdr:rowOff>
                  </from>
                  <to>
                    <xdr:col>20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47874</xdr:colOff>
                    <xdr:row>22</xdr:row>
                    <xdr:rowOff>0</xdr:rowOff>
                  </from>
                  <to>
                    <xdr:col>20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47874</xdr:colOff>
                    <xdr:row>25</xdr:row>
                    <xdr:rowOff>0</xdr:rowOff>
                  </from>
                  <to>
                    <xdr:col>20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47874</xdr:colOff>
                    <xdr:row>26</xdr:row>
                    <xdr:rowOff>0</xdr:rowOff>
                  </from>
                  <to>
                    <xdr:col>20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47874</xdr:colOff>
                    <xdr:row>27</xdr:row>
                    <xdr:rowOff>0</xdr:rowOff>
                  </from>
                  <to>
                    <xdr:col>20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38299</xdr:colOff>
                    <xdr:row>18</xdr:row>
                    <xdr:rowOff>0</xdr:rowOff>
                  </from>
                  <to>
                    <xdr:col>20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47874</xdr:colOff>
                    <xdr:row>34</xdr:row>
                    <xdr:rowOff>19150</xdr:rowOff>
                  </from>
                  <to>
                    <xdr:col>20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47874</xdr:colOff>
                    <xdr:row>38</xdr:row>
                    <xdr:rowOff>19150</xdr:rowOff>
                  </from>
                  <to>
                    <xdr:col>20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47874</xdr:colOff>
                    <xdr:row>12</xdr:row>
                    <xdr:rowOff>0</xdr:rowOff>
                  </from>
                  <to>
                    <xdr:col>20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47874</xdr:colOff>
                    <xdr:row>23</xdr:row>
                    <xdr:rowOff>0</xdr:rowOff>
                  </from>
                  <to>
                    <xdr:col>20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47874</xdr:colOff>
                    <xdr:row>39</xdr:row>
                    <xdr:rowOff>19150</xdr:rowOff>
                  </from>
                  <to>
                    <xdr:col>20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47874</xdr:colOff>
                    <xdr:row>40</xdr:row>
                    <xdr:rowOff>19150</xdr:rowOff>
                  </from>
                  <to>
                    <xdr:col>20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47874</xdr:colOff>
                    <xdr:row>15</xdr:row>
                    <xdr:rowOff>0</xdr:rowOff>
                  </from>
                  <to>
                    <xdr:col>20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47874</xdr:colOff>
                    <xdr:row>17</xdr:row>
                    <xdr:rowOff>0</xdr:rowOff>
                  </from>
                  <to>
                    <xdr:col>20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38299</xdr:colOff>
                    <xdr:row>21</xdr:row>
                    <xdr:rowOff>0</xdr:rowOff>
                  </from>
                  <to>
                    <xdr:col>20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47874</xdr:colOff>
                    <xdr:row>28</xdr:row>
                    <xdr:rowOff>0</xdr:rowOff>
                  </from>
                  <to>
                    <xdr:col>20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47874</xdr:colOff>
                    <xdr:row>29</xdr:row>
                    <xdr:rowOff>0</xdr:rowOff>
                  </from>
                  <to>
                    <xdr:col>20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47874</xdr:colOff>
                    <xdr:row>30</xdr:row>
                    <xdr:rowOff>0</xdr:rowOff>
                  </from>
                  <to>
                    <xdr:col>20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47874</xdr:colOff>
                    <xdr:row>31</xdr:row>
                    <xdr:rowOff>0</xdr:rowOff>
                  </from>
                  <to>
                    <xdr:col>20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47874</xdr:colOff>
                    <xdr:row>32</xdr:row>
                    <xdr:rowOff>0</xdr:rowOff>
                  </from>
                  <to>
                    <xdr:col>20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47874</xdr:colOff>
                    <xdr:row>35</xdr:row>
                    <xdr:rowOff>0</xdr:rowOff>
                  </from>
                  <to>
                    <xdr:col>20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24</xdr:row>
                    <xdr:rowOff>19150</xdr:rowOff>
                  </from>
                  <to>
                    <xdr:col>20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47874</xdr:colOff>
                    <xdr:row>16</xdr:row>
                    <xdr:rowOff>0</xdr:rowOff>
                  </from>
                  <to>
                    <xdr:col>20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47874</xdr:colOff>
                    <xdr:row>37</xdr:row>
                    <xdr:rowOff>0</xdr:rowOff>
                  </from>
                  <to>
                    <xdr:col>20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33</xdr:row>
                    <xdr:rowOff>19150</xdr:rowOff>
                  </from>
                  <to>
                    <xdr:col>20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713328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activeCellId="9" sqref="C4:C35 E4:E34 G4:G34 I4:I34 K4:K34 M4:M34 O4:O34 Q4:Q34 S4:S34 D38"/>
    </sheetView>
  </sheetViews>
  <sheetFormatPr defaultColWidth="9.1328125" defaultRowHeight="12.85" x14ac:dyDescent="0.35"/>
  <cols>
    <col min="1" max="16384" width="9.1328125" style="271"/>
  </cols>
  <sheetData>
    <row r="1" spans="1:21" x14ac:dyDescent="0.35">
      <c r="A1" s="594"/>
      <c r="D1" s="287"/>
      <c r="F1" s="287"/>
      <c r="H1" s="287"/>
      <c r="J1" s="287"/>
      <c r="L1" s="287"/>
      <c r="N1" s="287"/>
      <c r="P1" s="287"/>
      <c r="R1" s="287"/>
    </row>
    <row r="2" spans="1:21" x14ac:dyDescent="0.35">
      <c r="A2" s="287"/>
      <c r="D2" s="287"/>
      <c r="F2" s="287"/>
      <c r="H2" s="287"/>
      <c r="L2" s="287"/>
    </row>
    <row r="3" spans="1:21" x14ac:dyDescent="0.35">
      <c r="A3" s="287" t="s">
        <v>766</v>
      </c>
      <c r="B3" s="271" t="s">
        <v>767</v>
      </c>
      <c r="D3" s="271" t="s">
        <v>770</v>
      </c>
      <c r="F3" s="271" t="s">
        <v>771</v>
      </c>
      <c r="H3" s="271" t="s">
        <v>772</v>
      </c>
      <c r="J3" s="271" t="s">
        <v>160</v>
      </c>
      <c r="L3" s="287" t="s">
        <v>773</v>
      </c>
      <c r="N3" s="271" t="s">
        <v>774</v>
      </c>
      <c r="P3" s="271" t="s">
        <v>775</v>
      </c>
      <c r="R3" s="271" t="s">
        <v>776</v>
      </c>
    </row>
    <row r="4" spans="1:21" x14ac:dyDescent="0.35">
      <c r="B4" s="271" t="str">
        <f>IF(C4,"A","")</f>
        <v/>
      </c>
      <c r="C4" s="863"/>
      <c r="D4" s="271" t="str">
        <f>IF(E4,"A","")</f>
        <v/>
      </c>
      <c r="E4" s="863"/>
      <c r="F4" s="271" t="str">
        <f>IF(G4,"A","")</f>
        <v/>
      </c>
      <c r="G4" s="863"/>
      <c r="H4" s="271" t="str">
        <f>IF(I4,"A","")</f>
        <v/>
      </c>
      <c r="I4" s="863"/>
      <c r="J4" s="271" t="str">
        <f>IF(K4,"A","")</f>
        <v/>
      </c>
      <c r="K4" s="863"/>
      <c r="L4" s="271" t="str">
        <f>IF(M4,"A","")</f>
        <v/>
      </c>
      <c r="M4" s="863"/>
      <c r="N4" s="271" t="str">
        <f>IF(O4,"A","")</f>
        <v/>
      </c>
      <c r="O4" s="863"/>
      <c r="P4" s="271" t="str">
        <f>IF(Q4,"A","")</f>
        <v/>
      </c>
      <c r="Q4" s="863"/>
      <c r="R4" s="271" t="str">
        <f>IF(S4,"A","")</f>
        <v/>
      </c>
      <c r="S4" s="863"/>
      <c r="U4" s="321"/>
    </row>
    <row r="5" spans="1:21" x14ac:dyDescent="0.35">
      <c r="B5" s="271" t="str">
        <f>IF(C5,"Na K","")</f>
        <v/>
      </c>
      <c r="C5" s="863"/>
      <c r="D5" s="271" t="str">
        <f>IF(E5,"Na K","")</f>
        <v/>
      </c>
      <c r="E5" s="863"/>
      <c r="F5" s="271" t="str">
        <f>IF(G5,"Na K","")</f>
        <v/>
      </c>
      <c r="G5" s="863"/>
      <c r="H5" s="271" t="str">
        <f>IF(I5,"Na K","")</f>
        <v/>
      </c>
      <c r="I5" s="863"/>
      <c r="J5" s="271" t="str">
        <f>IF(K5,"Na K","")</f>
        <v/>
      </c>
      <c r="K5" s="863"/>
      <c r="L5" s="271" t="str">
        <f>IF(M5,"Na K","")</f>
        <v/>
      </c>
      <c r="M5" s="863"/>
      <c r="N5" s="271" t="str">
        <f>IF(O5,"Na K","")</f>
        <v/>
      </c>
      <c r="O5" s="863"/>
      <c r="P5" s="271" t="str">
        <f>IF(Q5,"Na K","")</f>
        <v/>
      </c>
      <c r="Q5" s="863"/>
      <c r="R5" s="271" t="str">
        <f>IF(S5,"Na K","")</f>
        <v/>
      </c>
      <c r="S5" s="863"/>
      <c r="U5" s="321"/>
    </row>
    <row r="6" spans="1:21" x14ac:dyDescent="0.35">
      <c r="A6" s="576"/>
      <c r="B6" s="271" t="str">
        <f>IF(C6,"Cl","")</f>
        <v/>
      </c>
      <c r="C6" s="863"/>
      <c r="D6" s="271" t="str">
        <f>IF(E6,"Cl","")</f>
        <v/>
      </c>
      <c r="E6" s="863"/>
      <c r="F6" s="271" t="str">
        <f>IF(G6,"Cl","")</f>
        <v/>
      </c>
      <c r="G6" s="863"/>
      <c r="H6" s="271" t="str">
        <f>IF(I6,"Cl","")</f>
        <v/>
      </c>
      <c r="I6" s="863"/>
      <c r="J6" s="271" t="str">
        <f>IF(K6,"Cl","")</f>
        <v/>
      </c>
      <c r="K6" s="863"/>
      <c r="L6" s="271" t="str">
        <f>IF(M6,"Cl","")</f>
        <v/>
      </c>
      <c r="M6" s="863"/>
      <c r="N6" s="271" t="str">
        <f>IF(O6,"Cl","")</f>
        <v/>
      </c>
      <c r="O6" s="863"/>
      <c r="P6" s="271" t="str">
        <f>IF(Q6,"Cl","")</f>
        <v/>
      </c>
      <c r="Q6" s="863"/>
      <c r="R6" s="271" t="str">
        <f>IF(S6,"Cl","")</f>
        <v/>
      </c>
      <c r="S6" s="863"/>
      <c r="U6" s="321"/>
    </row>
    <row r="7" spans="1:21" x14ac:dyDescent="0.35">
      <c r="B7" s="271" t="str">
        <f>IF(C7,"Gluc","")</f>
        <v/>
      </c>
      <c r="C7" s="863"/>
      <c r="D7" s="271" t="str">
        <f>IF(E7,"Gluc","")</f>
        <v/>
      </c>
      <c r="E7" s="863"/>
      <c r="F7" s="271" t="str">
        <f>IF(G7,"Gluc","")</f>
        <v/>
      </c>
      <c r="G7" s="863"/>
      <c r="H7" s="271" t="str">
        <f>IF(I7,"Gluc","")</f>
        <v/>
      </c>
      <c r="I7" s="863"/>
      <c r="J7" s="271" t="str">
        <f>IF(K7,"Gluc","")</f>
        <v/>
      </c>
      <c r="K7" s="863"/>
      <c r="L7" s="271" t="str">
        <f>IF(M7,"Gluc","")</f>
        <v/>
      </c>
      <c r="M7" s="863"/>
      <c r="N7" s="271" t="str">
        <f>IF(O7,"Gluc","")</f>
        <v/>
      </c>
      <c r="O7" s="863"/>
      <c r="P7" s="271" t="str">
        <f>IF(Q7,"Gluc","")</f>
        <v/>
      </c>
      <c r="Q7" s="863"/>
      <c r="R7" s="271" t="str">
        <f>IF(S7,"Gluc","")</f>
        <v/>
      </c>
      <c r="S7" s="863"/>
      <c r="U7" s="321"/>
    </row>
    <row r="8" spans="1:21" x14ac:dyDescent="0.35">
      <c r="B8" s="271" t="str">
        <f>IF(C8,"Hb Ht","")</f>
        <v/>
      </c>
      <c r="C8" s="863"/>
      <c r="D8" s="271" t="str">
        <f>IF(E8,"Hb Ht","")</f>
        <v/>
      </c>
      <c r="E8" s="863"/>
      <c r="F8" s="271" t="str">
        <f>IF(G8,"Hb Ht","")</f>
        <v/>
      </c>
      <c r="G8" s="863"/>
      <c r="H8" s="271" t="str">
        <f>IF(I8,"Hb Ht","")</f>
        <v/>
      </c>
      <c r="I8" s="863"/>
      <c r="J8" s="271" t="str">
        <f>IF(K8,"Hb Ht","")</f>
        <v/>
      </c>
      <c r="K8" s="863"/>
      <c r="L8" s="271" t="str">
        <f>IF(M8,"Hb Ht","")</f>
        <v/>
      </c>
      <c r="M8" s="863"/>
      <c r="N8" s="271" t="str">
        <f>IF(O8,"Hb Ht","")</f>
        <v/>
      </c>
      <c r="O8" s="863"/>
      <c r="P8" s="271" t="str">
        <f>IF(Q8,"Hb Ht","")</f>
        <v/>
      </c>
      <c r="Q8" s="863"/>
      <c r="R8" s="271" t="str">
        <f>IF(S8,"Hb Ht","")</f>
        <v/>
      </c>
      <c r="S8" s="863"/>
      <c r="U8" s="321"/>
    </row>
    <row r="9" spans="1:21" x14ac:dyDescent="0.35">
      <c r="B9" s="271" t="str">
        <f>IF(C9,"L","")</f>
        <v/>
      </c>
      <c r="C9" s="863"/>
      <c r="D9" s="271" t="str">
        <f>IF(E9,"L","")</f>
        <v/>
      </c>
      <c r="E9" s="863"/>
      <c r="F9" s="271" t="str">
        <f>IF(G9,"L","")</f>
        <v/>
      </c>
      <c r="G9" s="863"/>
      <c r="H9" s="271" t="str">
        <f>IF(I9,"L","")</f>
        <v/>
      </c>
      <c r="I9" s="863"/>
      <c r="J9" s="271" t="str">
        <f>IF(K9,"L","")</f>
        <v/>
      </c>
      <c r="K9" s="863"/>
      <c r="L9" s="271" t="str">
        <f>IF(M9,"L","")</f>
        <v/>
      </c>
      <c r="M9" s="863"/>
      <c r="N9" s="271" t="str">
        <f>IF(O9,"L","")</f>
        <v/>
      </c>
      <c r="O9" s="863"/>
      <c r="P9" s="271" t="str">
        <f>IF(Q9,"L","")</f>
        <v/>
      </c>
      <c r="Q9" s="863"/>
      <c r="R9" s="271" t="str">
        <f>IF(S9,"L","")</f>
        <v/>
      </c>
      <c r="S9" s="863"/>
      <c r="U9" s="321"/>
    </row>
    <row r="10" spans="1:21" x14ac:dyDescent="0.35">
      <c r="B10" s="271" t="str">
        <f>IF(C10,"L+diff","")</f>
        <v/>
      </c>
      <c r="C10" s="863"/>
      <c r="D10" s="271" t="str">
        <f>IF(E10,"L+diff","")</f>
        <v/>
      </c>
      <c r="E10" s="863"/>
      <c r="F10" s="271" t="str">
        <f>IF(G10,"L+diff","")</f>
        <v/>
      </c>
      <c r="G10" s="863"/>
      <c r="H10" s="271" t="str">
        <f>IF(I10,"L+diff","")</f>
        <v/>
      </c>
      <c r="I10" s="863"/>
      <c r="J10" s="271" t="str">
        <f>IF(K10,"L+diff","")</f>
        <v/>
      </c>
      <c r="K10" s="863"/>
      <c r="L10" s="271" t="str">
        <f>IF(M10,"L+diff","")</f>
        <v/>
      </c>
      <c r="M10" s="863"/>
      <c r="N10" s="271" t="str">
        <f>IF(O10,"L+diff","")</f>
        <v/>
      </c>
      <c r="O10" s="863"/>
      <c r="P10" s="271" t="str">
        <f>IF(Q10,"L+diff","")</f>
        <v/>
      </c>
      <c r="Q10" s="863"/>
      <c r="R10" s="271" t="str">
        <f>IF(S10,"L+diff","")</f>
        <v/>
      </c>
      <c r="S10" s="863"/>
      <c r="U10" s="321"/>
    </row>
    <row r="11" spans="1:21" x14ac:dyDescent="0.35">
      <c r="B11" s="271" t="str">
        <f>IF(C11,"T","")</f>
        <v/>
      </c>
      <c r="C11" s="863"/>
      <c r="D11" s="271" t="str">
        <f>IF(E11,"T","")</f>
        <v/>
      </c>
      <c r="E11" s="863"/>
      <c r="F11" s="271" t="str">
        <f>IF(G11,"T","")</f>
        <v/>
      </c>
      <c r="G11" s="863"/>
      <c r="H11" s="271" t="str">
        <f>IF(I11,"T","")</f>
        <v/>
      </c>
      <c r="I11" s="863"/>
      <c r="J11" s="271" t="str">
        <f>IF(K11,"T","")</f>
        <v/>
      </c>
      <c r="K11" s="863"/>
      <c r="L11" s="271" t="str">
        <f>IF(M11,"T","")</f>
        <v/>
      </c>
      <c r="M11" s="863"/>
      <c r="N11" s="271" t="str">
        <f>IF(O11,"T","")</f>
        <v/>
      </c>
      <c r="O11" s="863"/>
      <c r="P11" s="271" t="str">
        <f>IF(Q11,"T","")</f>
        <v/>
      </c>
      <c r="Q11" s="863"/>
      <c r="R11" s="271" t="str">
        <f>IF(S11,"T","")</f>
        <v/>
      </c>
      <c r="S11" s="863"/>
      <c r="U11" s="321"/>
    </row>
    <row r="12" spans="1:21" x14ac:dyDescent="0.35">
      <c r="B12" s="271" t="str">
        <f>IF(C12,"CRP","")</f>
        <v/>
      </c>
      <c r="C12" s="863"/>
      <c r="D12" s="271" t="str">
        <f>IF(E12,"CRP","")</f>
        <v/>
      </c>
      <c r="E12" s="863"/>
      <c r="F12" s="271" t="str">
        <f>IF(G12,"CRP","")</f>
        <v/>
      </c>
      <c r="G12" s="863"/>
      <c r="H12" s="271" t="str">
        <f>IF(I12,"CRP","")</f>
        <v/>
      </c>
      <c r="I12" s="863"/>
      <c r="J12" s="271" t="str">
        <f>IF(K12,"CRP","")</f>
        <v/>
      </c>
      <c r="K12" s="863"/>
      <c r="L12" s="271" t="str">
        <f>IF(M12,"CRP","")</f>
        <v/>
      </c>
      <c r="M12" s="863"/>
      <c r="N12" s="271" t="str">
        <f>IF(O12,"CRP","")</f>
        <v/>
      </c>
      <c r="O12" s="863"/>
      <c r="P12" s="271" t="str">
        <f>IF(Q12,"CRP","")</f>
        <v/>
      </c>
      <c r="Q12" s="863"/>
      <c r="R12" s="271" t="str">
        <f>IF(S12,"CRP","")</f>
        <v/>
      </c>
      <c r="S12" s="863"/>
      <c r="U12" s="321"/>
    </row>
    <row r="13" spans="1:21" x14ac:dyDescent="0.35">
      <c r="B13" s="271" t="str">
        <f>IF(C13,"Lac","")</f>
        <v/>
      </c>
      <c r="C13" s="863"/>
      <c r="D13" s="271" t="str">
        <f>IF(E13,"Lac","")</f>
        <v/>
      </c>
      <c r="E13" s="863"/>
      <c r="F13" s="271" t="str">
        <f>IF(G13,"Lac","")</f>
        <v/>
      </c>
      <c r="G13" s="863"/>
      <c r="H13" s="271" t="str">
        <f>IF(I13,"Lac","")</f>
        <v/>
      </c>
      <c r="I13" s="863"/>
      <c r="J13" s="271" t="str">
        <f>IF(K13,"Lac","")</f>
        <v/>
      </c>
      <c r="K13" s="863"/>
      <c r="L13" s="271" t="str">
        <f>IF(M13,"Lac","")</f>
        <v/>
      </c>
      <c r="M13" s="863"/>
      <c r="N13" s="271" t="str">
        <f>IF(O13,"Lac","")</f>
        <v/>
      </c>
      <c r="O13" s="863"/>
      <c r="P13" s="271" t="str">
        <f>IF(Q13,"Lac","")</f>
        <v/>
      </c>
      <c r="Q13" s="863"/>
      <c r="R13" s="271" t="str">
        <f>IF(S13,"Lac","")</f>
        <v/>
      </c>
      <c r="S13" s="863"/>
      <c r="U13" s="321"/>
    </row>
    <row r="14" spans="1:21" x14ac:dyDescent="0.35">
      <c r="B14" s="271" t="str">
        <f>IF(C14,"Ur","")</f>
        <v/>
      </c>
      <c r="C14" s="863"/>
      <c r="D14" s="271" t="str">
        <f>IF(E14,"Ur","")</f>
        <v/>
      </c>
      <c r="E14" s="863"/>
      <c r="F14" s="271" t="str">
        <f>IF(G14,"Ur","")</f>
        <v/>
      </c>
      <c r="G14" s="863"/>
      <c r="H14" s="271" t="str">
        <f>IF(I14,"Ur","")</f>
        <v/>
      </c>
      <c r="I14" s="863"/>
      <c r="J14" s="271" t="str">
        <f>IF(K14,"Ur","")</f>
        <v/>
      </c>
      <c r="K14" s="863"/>
      <c r="L14" s="271" t="str">
        <f>IF(M14,"Ur","")</f>
        <v/>
      </c>
      <c r="M14" s="863"/>
      <c r="N14" s="271" t="str">
        <f>IF(O14,"Ur","")</f>
        <v/>
      </c>
      <c r="O14" s="863"/>
      <c r="P14" s="271" t="str">
        <f>IF(Q14,"Ur","")</f>
        <v/>
      </c>
      <c r="Q14" s="863"/>
      <c r="R14" s="271" t="str">
        <f>IF(S14,"Ur","")</f>
        <v/>
      </c>
      <c r="S14" s="863"/>
      <c r="U14" s="321"/>
    </row>
    <row r="15" spans="1:21" x14ac:dyDescent="0.35">
      <c r="B15" s="271" t="str">
        <f>IF(C15,"Kr","")</f>
        <v/>
      </c>
      <c r="C15" s="863"/>
      <c r="D15" s="271" t="str">
        <f>IF(E15,"Kr++","")</f>
        <v/>
      </c>
      <c r="E15" s="863"/>
      <c r="F15" s="271" t="str">
        <f>IF(G15,"Kr","")</f>
        <v/>
      </c>
      <c r="G15" s="863"/>
      <c r="H15" s="271" t="str">
        <f>IF(I15,"Kr","")</f>
        <v/>
      </c>
      <c r="I15" s="863"/>
      <c r="J15" s="271" t="str">
        <f>IF(K15,"Kr","")</f>
        <v/>
      </c>
      <c r="K15" s="863"/>
      <c r="L15" s="271" t="str">
        <f>IF(M15,"Kr","")</f>
        <v/>
      </c>
      <c r="M15" s="863"/>
      <c r="N15" s="271" t="str">
        <f>IF(O15,"Kr","")</f>
        <v/>
      </c>
      <c r="O15" s="863"/>
      <c r="P15" s="271" t="str">
        <f>IF(Q15,"Kr","")</f>
        <v/>
      </c>
      <c r="Q15" s="863"/>
      <c r="R15" s="271" t="str">
        <f>IF(S15,"Kr","")</f>
        <v/>
      </c>
      <c r="S15" s="863"/>
      <c r="U15" s="321"/>
    </row>
    <row r="16" spans="1:21" x14ac:dyDescent="0.35">
      <c r="B16" s="271" t="str">
        <f>IF(C16,"Ca++","")</f>
        <v/>
      </c>
      <c r="C16" s="863"/>
      <c r="D16" s="271" t="str">
        <f>IF(E16,"Ca++","")</f>
        <v/>
      </c>
      <c r="E16" s="863"/>
      <c r="F16" s="271" t="str">
        <f>IF(G16,"Ca++","")</f>
        <v/>
      </c>
      <c r="G16" s="863"/>
      <c r="H16" s="271" t="str">
        <f>IF(I16,"Ca++","")</f>
        <v/>
      </c>
      <c r="I16" s="863"/>
      <c r="J16" s="271" t="str">
        <f>IF(K16,"Ca++","")</f>
        <v/>
      </c>
      <c r="K16" s="863"/>
      <c r="L16" s="271" t="str">
        <f>IF(M16,"Ca++","")</f>
        <v/>
      </c>
      <c r="M16" s="863"/>
      <c r="N16" s="271" t="str">
        <f>IF(O16,"Ca++","")</f>
        <v/>
      </c>
      <c r="O16" s="863"/>
      <c r="P16" s="271" t="str">
        <f>IF(Q16,"Ca++","")</f>
        <v/>
      </c>
      <c r="Q16" s="863"/>
      <c r="R16" s="271" t="str">
        <f>IF(S16,"Ca++","")</f>
        <v/>
      </c>
      <c r="S16" s="863"/>
      <c r="U16" s="321"/>
    </row>
    <row r="17" spans="2:21" x14ac:dyDescent="0.35">
      <c r="B17" s="271" t="str">
        <f>IF(C17,"Mg++","")</f>
        <v/>
      </c>
      <c r="C17" s="863"/>
      <c r="D17" s="271" t="str">
        <f>IF(E17,"Mg++","")</f>
        <v/>
      </c>
      <c r="E17" s="863"/>
      <c r="F17" s="271" t="str">
        <f>IF(G17,"Mg++","")</f>
        <v/>
      </c>
      <c r="G17" s="863"/>
      <c r="H17" s="271" t="str">
        <f>IF(I17,"Mg++","")</f>
        <v/>
      </c>
      <c r="I17" s="863"/>
      <c r="J17" s="271" t="str">
        <f>IF(K17,"Mg++","")</f>
        <v/>
      </c>
      <c r="K17" s="863"/>
      <c r="L17" s="271" t="str">
        <f>IF(M17,"Mg++","")</f>
        <v/>
      </c>
      <c r="M17" s="863"/>
      <c r="N17" s="271" t="str">
        <f>IF(O17,"Mg++","")</f>
        <v/>
      </c>
      <c r="O17" s="863"/>
      <c r="P17" s="271" t="str">
        <f>IF(Q17,"Mg++","")</f>
        <v/>
      </c>
      <c r="Q17" s="863"/>
      <c r="R17" s="271" t="str">
        <f>IF(S17,"Mg++","")</f>
        <v/>
      </c>
      <c r="S17" s="863"/>
      <c r="U17" s="321"/>
    </row>
    <row r="18" spans="2:21" x14ac:dyDescent="0.35">
      <c r="B18" s="271" t="str">
        <f>IF(C18,"Fosfaat","")</f>
        <v/>
      </c>
      <c r="C18" s="863"/>
      <c r="D18" s="271" t="str">
        <f>IF(E18,"Fosfaat","")</f>
        <v/>
      </c>
      <c r="E18" s="863"/>
      <c r="F18" s="271" t="str">
        <f>IF(G18,"Fosfaat","")</f>
        <v/>
      </c>
      <c r="G18" s="863"/>
      <c r="H18" s="271" t="str">
        <f>IF(I18,"Fosfaat","")</f>
        <v/>
      </c>
      <c r="I18" s="863"/>
      <c r="J18" s="271" t="str">
        <f>IF(K18,"Fosfaat","")</f>
        <v/>
      </c>
      <c r="K18" s="863"/>
      <c r="L18" s="271" t="str">
        <f>IF(M18,"Fosfaat","")</f>
        <v/>
      </c>
      <c r="M18" s="863"/>
      <c r="N18" s="271" t="str">
        <f>IF(O18,"Fosfaat","")</f>
        <v/>
      </c>
      <c r="O18" s="863"/>
      <c r="P18" s="271" t="str">
        <f>IF(Q18,"Fosfaat","")</f>
        <v/>
      </c>
      <c r="Q18" s="863"/>
      <c r="R18" s="271" t="str">
        <f>IF(S18,"Fosfaat","")</f>
        <v/>
      </c>
      <c r="S18" s="863"/>
      <c r="U18" s="321"/>
    </row>
    <row r="19" spans="2:21" x14ac:dyDescent="0.35">
      <c r="B19" s="271" t="str">
        <f>IF(C19,"Alb","")</f>
        <v/>
      </c>
      <c r="C19" s="863"/>
      <c r="D19" s="271" t="str">
        <f>IF(E19,"Alb","")</f>
        <v/>
      </c>
      <c r="E19" s="863"/>
      <c r="F19" s="271" t="str">
        <f>IF(G19,"Alb","")</f>
        <v/>
      </c>
      <c r="G19" s="863"/>
      <c r="H19" s="271" t="str">
        <f>IF(I19,"Alb","")</f>
        <v/>
      </c>
      <c r="I19" s="863"/>
      <c r="J19" s="271" t="str">
        <f>IF(K19,"Alb","")</f>
        <v/>
      </c>
      <c r="K19" s="863"/>
      <c r="L19" s="271" t="str">
        <f>IF(M19,"Alb","")</f>
        <v/>
      </c>
      <c r="M19" s="863"/>
      <c r="N19" s="271" t="str">
        <f>IF(O19,"Alb","")</f>
        <v/>
      </c>
      <c r="O19" s="863"/>
      <c r="P19" s="271" t="str">
        <f>IF(Q19,"Alb","")</f>
        <v/>
      </c>
      <c r="Q19" s="863"/>
      <c r="R19" s="271" t="str">
        <f>IF(S19,"Alb","")</f>
        <v/>
      </c>
      <c r="S19" s="863"/>
      <c r="U19" s="321"/>
    </row>
    <row r="20" spans="2:21" x14ac:dyDescent="0.35">
      <c r="B20" s="271" t="str">
        <f>IF(C20,"Ca","")</f>
        <v/>
      </c>
      <c r="C20" s="863"/>
      <c r="D20" s="271" t="str">
        <f>IF(E20,"Ca","")</f>
        <v/>
      </c>
      <c r="E20" s="863"/>
      <c r="F20" s="271" t="str">
        <f>IF(G20,"Ca","")</f>
        <v/>
      </c>
      <c r="G20" s="863"/>
      <c r="H20" s="271" t="str">
        <f>IF(I20,"Ca","")</f>
        <v/>
      </c>
      <c r="I20" s="863"/>
      <c r="J20" s="271" t="str">
        <f>IF(K20,"Ca","")</f>
        <v/>
      </c>
      <c r="K20" s="863"/>
      <c r="L20" s="271" t="str">
        <f>IF(M20,"Ca","")</f>
        <v/>
      </c>
      <c r="M20" s="863"/>
      <c r="N20" s="271" t="str">
        <f>IF(O20,"Ca","")</f>
        <v/>
      </c>
      <c r="O20" s="863"/>
      <c r="P20" s="271" t="str">
        <f>IF(Q20,"Ca","")</f>
        <v/>
      </c>
      <c r="Q20" s="863"/>
      <c r="R20" s="271" t="str">
        <f>IF(S20,"Ca","")</f>
        <v/>
      </c>
      <c r="S20" s="863"/>
      <c r="U20" s="321"/>
    </row>
    <row r="21" spans="2:21" x14ac:dyDescent="0.35">
      <c r="B21" s="271" t="str">
        <f>IF(C21,"ASAT","")</f>
        <v/>
      </c>
      <c r="C21" s="863"/>
      <c r="D21" s="271" t="str">
        <f>IF(E21,"ASAT","")</f>
        <v/>
      </c>
      <c r="E21" s="863"/>
      <c r="F21" s="271" t="str">
        <f>IF(G21,"ASAT","")</f>
        <v/>
      </c>
      <c r="G21" s="863"/>
      <c r="H21" s="271" t="str">
        <f>IF(I21,"ASAT","")</f>
        <v/>
      </c>
      <c r="I21" s="863"/>
      <c r="J21" s="271" t="str">
        <f>IF(K21,"ASAT","")</f>
        <v/>
      </c>
      <c r="K21" s="863"/>
      <c r="L21" s="271" t="str">
        <f>IF(M21,"ASAT","")</f>
        <v/>
      </c>
      <c r="M21" s="863"/>
      <c r="N21" s="271" t="str">
        <f>IF(O21,"ASAT","")</f>
        <v/>
      </c>
      <c r="O21" s="863"/>
      <c r="P21" s="271" t="str">
        <f>IF(Q21,"ASAT","")</f>
        <v/>
      </c>
      <c r="Q21" s="863"/>
      <c r="R21" s="271" t="str">
        <f>IF(S21,"ASAT","")</f>
        <v/>
      </c>
      <c r="S21" s="863"/>
      <c r="U21" s="321"/>
    </row>
    <row r="22" spans="2:21" x14ac:dyDescent="0.35">
      <c r="B22" s="271" t="str">
        <f>IF(C22,"ALAT","")</f>
        <v/>
      </c>
      <c r="C22" s="863"/>
      <c r="D22" s="271" t="str">
        <f>IF(E22,"ALAT","")</f>
        <v/>
      </c>
      <c r="E22" s="863"/>
      <c r="F22" s="271" t="str">
        <f>IF(G22,"ALAT","")</f>
        <v/>
      </c>
      <c r="G22" s="863"/>
      <c r="H22" s="271" t="str">
        <f>IF(I22,"ALAT","")</f>
        <v/>
      </c>
      <c r="I22" s="863"/>
      <c r="J22" s="271" t="str">
        <f>IF(K22,"ALAT","")</f>
        <v/>
      </c>
      <c r="K22" s="863"/>
      <c r="L22" s="271" t="str">
        <f>IF(M22,"ALAT","")</f>
        <v/>
      </c>
      <c r="M22" s="863"/>
      <c r="N22" s="271" t="str">
        <f>IF(O22,"ALAT","")</f>
        <v/>
      </c>
      <c r="O22" s="863"/>
      <c r="P22" s="271" t="str">
        <f>IF(Q22,"ALAT","")</f>
        <v/>
      </c>
      <c r="Q22" s="863"/>
      <c r="R22" s="271" t="str">
        <f>IF(S22,"ALAT","")</f>
        <v/>
      </c>
      <c r="S22" s="863"/>
      <c r="U22" s="321"/>
    </row>
    <row r="23" spans="2:21" x14ac:dyDescent="0.35">
      <c r="B23" s="271" t="str">
        <f>IF(C23,"GGT","")</f>
        <v/>
      </c>
      <c r="C23" s="863"/>
      <c r="D23" s="271" t="str">
        <f>IF(E23,"GGT","")</f>
        <v/>
      </c>
      <c r="E23" s="863"/>
      <c r="F23" s="271" t="str">
        <f>IF(G23,"GGT","")</f>
        <v/>
      </c>
      <c r="G23" s="863"/>
      <c r="H23" s="271" t="str">
        <f>IF(I23,"GGT","")</f>
        <v/>
      </c>
      <c r="I23" s="863"/>
      <c r="J23" s="271" t="str">
        <f>IF(K23,"GGT","")</f>
        <v/>
      </c>
      <c r="K23" s="863"/>
      <c r="L23" s="271" t="str">
        <f>IF(M23,"GGT","")</f>
        <v/>
      </c>
      <c r="M23" s="863"/>
      <c r="N23" s="271" t="str">
        <f>IF(O23,"GGT","")</f>
        <v/>
      </c>
      <c r="O23" s="863"/>
      <c r="P23" s="271" t="str">
        <f>IF(Q23,"GGT","")</f>
        <v/>
      </c>
      <c r="Q23" s="863"/>
      <c r="R23" s="271" t="str">
        <f>IF(S23,"GGT","")</f>
        <v/>
      </c>
      <c r="S23" s="863"/>
      <c r="U23" s="321"/>
    </row>
    <row r="24" spans="2:21" x14ac:dyDescent="0.35">
      <c r="B24" s="271" t="str">
        <f>IF(C24,"AF","")</f>
        <v/>
      </c>
      <c r="C24" s="863"/>
      <c r="D24" s="271" t="str">
        <f>IF(E24,"AF","")</f>
        <v/>
      </c>
      <c r="E24" s="863"/>
      <c r="F24" s="271" t="str">
        <f>IF(G24,"AF","")</f>
        <v/>
      </c>
      <c r="G24" s="863"/>
      <c r="H24" s="271" t="str">
        <f>IF(I24,"AF","")</f>
        <v/>
      </c>
      <c r="I24" s="863"/>
      <c r="J24" s="271" t="str">
        <f>IF(K24,"AF","")</f>
        <v/>
      </c>
      <c r="K24" s="863"/>
      <c r="L24" s="271" t="str">
        <f>IF(M24,"AF","")</f>
        <v/>
      </c>
      <c r="M24" s="863"/>
      <c r="N24" s="271" t="str">
        <f>IF(O24,"AF","")</f>
        <v/>
      </c>
      <c r="O24" s="863"/>
      <c r="P24" s="271" t="str">
        <f>IF(Q24,"AF","")</f>
        <v/>
      </c>
      <c r="Q24" s="863"/>
      <c r="R24" s="271" t="str">
        <f>IF(S24,"AF","")</f>
        <v/>
      </c>
      <c r="S24" s="863"/>
      <c r="U24" s="321"/>
    </row>
    <row r="25" spans="2:21" x14ac:dyDescent="0.35">
      <c r="B25" s="271" t="str">
        <f>IF(C25,"LDH","")</f>
        <v/>
      </c>
      <c r="C25" s="863"/>
      <c r="D25" s="271" t="str">
        <f>IF(E25,"LDH","")</f>
        <v/>
      </c>
      <c r="E25" s="863"/>
      <c r="F25" s="271" t="str">
        <f>IF(G25,"LDH","")</f>
        <v/>
      </c>
      <c r="G25" s="863"/>
      <c r="H25" s="271" t="str">
        <f>IF(I25,"LDH","")</f>
        <v/>
      </c>
      <c r="I25" s="863"/>
      <c r="J25" s="271" t="str">
        <f>IF(K25,"LDH","")</f>
        <v/>
      </c>
      <c r="K25" s="863"/>
      <c r="L25" s="271" t="str">
        <f>IF(M25,"LDH","")</f>
        <v/>
      </c>
      <c r="M25" s="863"/>
      <c r="N25" s="271" t="str">
        <f>IF(O25,"LDH","")</f>
        <v/>
      </c>
      <c r="O25" s="863"/>
      <c r="P25" s="271" t="str">
        <f>IF(Q25,"LDH","")</f>
        <v/>
      </c>
      <c r="Q25" s="863"/>
      <c r="R25" s="271" t="str">
        <f>IF(S25,"LDH","")</f>
        <v/>
      </c>
      <c r="S25" s="863"/>
      <c r="U25" s="321"/>
    </row>
    <row r="26" spans="2:21" x14ac:dyDescent="0.35">
      <c r="B26" s="271" t="str">
        <f>IF(C26,"Bili","")</f>
        <v/>
      </c>
      <c r="C26" s="863"/>
      <c r="D26" s="271" t="str">
        <f>IF(E26,"Bili","")</f>
        <v/>
      </c>
      <c r="E26" s="863"/>
      <c r="F26" s="271" t="str">
        <f>IF(G26,"Bili","")</f>
        <v/>
      </c>
      <c r="G26" s="863"/>
      <c r="H26" s="271" t="str">
        <f>IF(I26,"Bili","")</f>
        <v/>
      </c>
      <c r="I26" s="863"/>
      <c r="J26" s="271" t="str">
        <f>IF(K26,"Bili","")</f>
        <v/>
      </c>
      <c r="K26" s="863"/>
      <c r="L26" s="271" t="str">
        <f>IF(M26,"Bili","")</f>
        <v/>
      </c>
      <c r="M26" s="863"/>
      <c r="N26" s="271" t="str">
        <f>IF(O26,"Bili","")</f>
        <v/>
      </c>
      <c r="O26" s="863"/>
      <c r="P26" s="271" t="str">
        <f>IF(Q26,"Bili","")</f>
        <v/>
      </c>
      <c r="Q26" s="863"/>
      <c r="R26" s="271" t="str">
        <f>IF(S26,"Bili","")</f>
        <v/>
      </c>
      <c r="S26" s="863"/>
      <c r="U26" s="321"/>
    </row>
    <row r="27" spans="2:21" x14ac:dyDescent="0.35">
      <c r="B27" s="271" t="str">
        <f>IF(C27,"TG","")</f>
        <v/>
      </c>
      <c r="C27" s="863"/>
      <c r="D27" s="271" t="str">
        <f>IF(E27,"TG","")</f>
        <v/>
      </c>
      <c r="E27" s="863"/>
      <c r="F27" s="271" t="str">
        <f>IF(G27,"TG","")</f>
        <v/>
      </c>
      <c r="G27" s="863"/>
      <c r="H27" s="271" t="str">
        <f>IF(I27,"TG","")</f>
        <v/>
      </c>
      <c r="I27" s="863"/>
      <c r="J27" s="271" t="str">
        <f>IF(K27,"TG","")</f>
        <v/>
      </c>
      <c r="K27" s="863"/>
      <c r="L27" s="271" t="str">
        <f>IF(M27,"TG","")</f>
        <v/>
      </c>
      <c r="M27" s="863"/>
      <c r="N27" s="271" t="str">
        <f>IF(O27,"TG","")</f>
        <v/>
      </c>
      <c r="O27" s="863"/>
      <c r="P27" s="271" t="str">
        <f>IF(Q27,"TG","")</f>
        <v/>
      </c>
      <c r="Q27" s="863"/>
      <c r="R27" s="271" t="str">
        <f>IF(S27,"TG","")</f>
        <v/>
      </c>
      <c r="S27" s="863"/>
      <c r="U27" s="321"/>
    </row>
    <row r="28" spans="2:21" x14ac:dyDescent="0.35">
      <c r="B28" s="271" t="str">
        <f>IF(C28,"PT","")</f>
        <v/>
      </c>
      <c r="C28" s="863"/>
      <c r="D28" s="271" t="str">
        <f>IF(E28,"PT","")</f>
        <v/>
      </c>
      <c r="E28" s="863"/>
      <c r="F28" s="271" t="str">
        <f>IF(G28,"PT","")</f>
        <v/>
      </c>
      <c r="G28" s="863"/>
      <c r="H28" s="271" t="str">
        <f>IF(I28,"PT","")</f>
        <v/>
      </c>
      <c r="I28" s="863"/>
      <c r="J28" s="271" t="str">
        <f>IF(K28,"PT","")</f>
        <v/>
      </c>
      <c r="K28" s="863"/>
      <c r="L28" s="271" t="str">
        <f>IF(M28,"PT","")</f>
        <v/>
      </c>
      <c r="M28" s="863"/>
      <c r="N28" s="271" t="str">
        <f>IF(O28,"PT","")</f>
        <v/>
      </c>
      <c r="O28" s="863"/>
      <c r="P28" s="271" t="str">
        <f>IF(Q28,"PT","")</f>
        <v/>
      </c>
      <c r="Q28" s="863"/>
      <c r="R28" s="271" t="str">
        <f>IF(S28,"PT","")</f>
        <v/>
      </c>
      <c r="S28" s="863"/>
      <c r="U28" s="321"/>
    </row>
    <row r="29" spans="2:21" x14ac:dyDescent="0.35">
      <c r="B29" s="271" t="str">
        <f>IF(C29,"APPT","")</f>
        <v/>
      </c>
      <c r="C29" s="863"/>
      <c r="D29" s="271" t="str">
        <f>IF(E29,"APPT","")</f>
        <v/>
      </c>
      <c r="E29" s="863"/>
      <c r="F29" s="271" t="str">
        <f>IF(G29,"APPT","")</f>
        <v/>
      </c>
      <c r="G29" s="863"/>
      <c r="H29" s="271" t="str">
        <f>IF(I29,"APPT","")</f>
        <v/>
      </c>
      <c r="I29" s="863"/>
      <c r="J29" s="271" t="str">
        <f>IF(K29,"APPT","")</f>
        <v/>
      </c>
      <c r="K29" s="863"/>
      <c r="L29" s="271" t="str">
        <f>IF(M29,"APPT","")</f>
        <v/>
      </c>
      <c r="M29" s="863"/>
      <c r="N29" s="271" t="str">
        <f>IF(O29,"APPT","")</f>
        <v/>
      </c>
      <c r="O29" s="863"/>
      <c r="P29" s="271" t="str">
        <f>IF(Q29,"APPT","")</f>
        <v/>
      </c>
      <c r="Q29" s="863"/>
      <c r="R29" s="271" t="str">
        <f>IF(S29,"APPT","")</f>
        <v/>
      </c>
      <c r="S29" s="863"/>
      <c r="U29" s="321"/>
    </row>
    <row r="30" spans="2:21" x14ac:dyDescent="0.35">
      <c r="B30" s="271" t="str">
        <f>IF(C30,"NICU APPT","")</f>
        <v/>
      </c>
      <c r="C30" s="863"/>
      <c r="D30" s="271" t="str">
        <f>IF(E30,"NICU APPT","")</f>
        <v/>
      </c>
      <c r="E30" s="863"/>
      <c r="F30" s="271" t="str">
        <f>IF(G30,"NICU APPT","")</f>
        <v/>
      </c>
      <c r="G30" s="863"/>
      <c r="H30" s="271" t="str">
        <f>IF(I30,"NICU APPT","")</f>
        <v/>
      </c>
      <c r="I30" s="863"/>
      <c r="J30" s="271" t="str">
        <f>IF(K30,"NICU APPT","")</f>
        <v/>
      </c>
      <c r="K30" s="863"/>
      <c r="L30" s="271" t="str">
        <f>IF(M30,"NICU APPT","")</f>
        <v/>
      </c>
      <c r="M30" s="863"/>
      <c r="N30" s="271" t="str">
        <f>IF(O30,"NICU APPT","")</f>
        <v/>
      </c>
      <c r="O30" s="863"/>
      <c r="P30" s="271" t="str">
        <f>IF(Q30,"NICU APPT","")</f>
        <v/>
      </c>
      <c r="Q30" s="863"/>
      <c r="R30" s="271" t="str">
        <f>IF(S30,"NICU APPT","")</f>
        <v/>
      </c>
      <c r="S30" s="863"/>
      <c r="U30" s="321"/>
    </row>
    <row r="31" spans="2:21" x14ac:dyDescent="0.35">
      <c r="B31" s="271" t="str">
        <f>IF(C31,"BG","")</f>
        <v/>
      </c>
      <c r="C31" s="863"/>
      <c r="D31" s="271" t="str">
        <f>IF(E31,"BG","")</f>
        <v/>
      </c>
      <c r="E31" s="863"/>
      <c r="F31" s="271" t="str">
        <f>IF(G31,"BG","")</f>
        <v/>
      </c>
      <c r="G31" s="863"/>
      <c r="H31" s="271" t="str">
        <f>IF(I31,"BG","")</f>
        <v/>
      </c>
      <c r="I31" s="863"/>
      <c r="J31" s="271" t="str">
        <f>IF(K31,"BG","")</f>
        <v/>
      </c>
      <c r="K31" s="863"/>
      <c r="L31" s="271" t="str">
        <f>IF(M31,"BG","")</f>
        <v/>
      </c>
      <c r="M31" s="863"/>
      <c r="N31" s="271" t="str">
        <f>IF(O31,"BG","")</f>
        <v/>
      </c>
      <c r="O31" s="863"/>
      <c r="P31" s="271" t="str">
        <f>IF(Q31,"BG","")</f>
        <v/>
      </c>
      <c r="Q31" s="863"/>
      <c r="R31" s="271" t="str">
        <f>IF(S31,"BG","")</f>
        <v/>
      </c>
      <c r="S31" s="863"/>
      <c r="U31" s="321"/>
    </row>
    <row r="32" spans="2:21" x14ac:dyDescent="0.35">
      <c r="B32" s="271" t="str">
        <f>IF(C32,"antiAx","")</f>
        <v/>
      </c>
      <c r="C32" s="863"/>
      <c r="D32" s="271" t="str">
        <f>IF(E32,"antiAx","")</f>
        <v/>
      </c>
      <c r="E32" s="863"/>
      <c r="F32" s="271" t="str">
        <f>IF(G32,"antiAx","")</f>
        <v/>
      </c>
      <c r="G32" s="863"/>
      <c r="H32" s="271" t="str">
        <f>IF(I32,"antiAx","")</f>
        <v/>
      </c>
      <c r="I32" s="863"/>
      <c r="J32" s="271" t="str">
        <f>IF(K32,"antiAx","")</f>
        <v/>
      </c>
      <c r="K32" s="863"/>
      <c r="L32" s="271" t="str">
        <f>IF(M32,"antiAx","")</f>
        <v/>
      </c>
      <c r="M32" s="863"/>
      <c r="N32" s="271" t="str">
        <f>IF(O32,"antiAx","")</f>
        <v/>
      </c>
      <c r="O32" s="863"/>
      <c r="P32" s="271" t="str">
        <f>IF(Q32,"antiAx","")</f>
        <v/>
      </c>
      <c r="Q32" s="863"/>
      <c r="R32" s="271" t="str">
        <f>IF(S32,"antiAx","")</f>
        <v/>
      </c>
      <c r="S32" s="863"/>
      <c r="U32" s="321"/>
    </row>
    <row r="33" spans="2:21" x14ac:dyDescent="0.35">
      <c r="B33" s="271" t="str">
        <f>IF(C33,"BNP","")</f>
        <v/>
      </c>
      <c r="C33" s="863"/>
      <c r="D33" s="271" t="str">
        <f>IF(E33,"BNP","")</f>
        <v/>
      </c>
      <c r="E33" s="863"/>
      <c r="F33" s="271" t="str">
        <f>IF(G33,"BNP","")</f>
        <v/>
      </c>
      <c r="G33" s="863"/>
      <c r="H33" s="271" t="str">
        <f>IF(I33,"BNP","")</f>
        <v/>
      </c>
      <c r="I33" s="863"/>
      <c r="J33" s="271" t="str">
        <f>IF(K33,"BNP","")</f>
        <v/>
      </c>
      <c r="K33" s="863"/>
      <c r="L33" s="271" t="str">
        <f>IF(M33,"BNP","")</f>
        <v/>
      </c>
      <c r="M33" s="863"/>
      <c r="N33" s="271" t="str">
        <f>IF(O33,"BNP","")</f>
        <v/>
      </c>
      <c r="O33" s="863"/>
      <c r="P33" s="271" t="str">
        <f>IF(Q33,"BNP","")</f>
        <v/>
      </c>
      <c r="Q33" s="863"/>
      <c r="R33" s="271" t="str">
        <f>IF(S33,"BNP","")</f>
        <v/>
      </c>
      <c r="S33" s="863"/>
      <c r="U33" s="321"/>
    </row>
    <row r="34" spans="2:21" x14ac:dyDescent="0.35">
      <c r="B34" s="271" t="str">
        <f>IF(C34,"Troponine","")</f>
        <v/>
      </c>
      <c r="C34" s="863"/>
      <c r="D34" s="271" t="str">
        <f>IF(E34,"Troponine","")</f>
        <v/>
      </c>
      <c r="E34" s="863"/>
      <c r="F34" s="271" t="str">
        <f>IF(G34,"Troponine","")</f>
        <v/>
      </c>
      <c r="G34" s="863"/>
      <c r="H34" s="271" t="str">
        <f>IF(I34,"Troponine","")</f>
        <v/>
      </c>
      <c r="I34" s="863"/>
      <c r="J34" s="271" t="str">
        <f>IF(K34,"Troponine","")</f>
        <v/>
      </c>
      <c r="K34" s="863"/>
      <c r="L34" s="271" t="str">
        <f>IF(M34,"Troponine","")</f>
        <v/>
      </c>
      <c r="M34" s="863"/>
      <c r="N34" s="271" t="str">
        <f>IF(O34,"Troponine","")</f>
        <v/>
      </c>
      <c r="O34" s="863"/>
      <c r="P34" s="271" t="str">
        <f>IF(Q34,"Troponine","")</f>
        <v/>
      </c>
      <c r="Q34" s="863"/>
      <c r="R34" s="271" t="str">
        <f>IF(S34,"Troponine","")</f>
        <v/>
      </c>
      <c r="S34" s="863"/>
      <c r="U34" s="321"/>
    </row>
    <row r="35" spans="2:21" x14ac:dyDescent="0.35">
      <c r="B35" s="271" t="str">
        <f>IF(C35,"Coombs-test","")</f>
        <v/>
      </c>
      <c r="C35" s="863"/>
    </row>
    <row r="38" spans="2:21" x14ac:dyDescent="0.35">
      <c r="B38" s="271" t="s">
        <v>947</v>
      </c>
      <c r="D38" s="576"/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>
      <selection activeCell="E5" sqref="E5"/>
    </sheetView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8.86328125" style="45" bestFit="1" customWidth="1"/>
    <col min="5" max="5" width="17.73046875" style="45" customWidth="1"/>
    <col min="6" max="7" width="18.73046875" style="45" customWidth="1"/>
    <col min="8" max="11" width="9.1328125" style="45"/>
    <col min="12" max="21" width="9.1328125" style="45" hidden="1" customWidth="1"/>
    <col min="22" max="22" width="0" style="45" hidden="1" customWidth="1"/>
    <col min="23" max="16384" width="9.1328125" style="45"/>
  </cols>
  <sheetData>
    <row r="1" spans="1:25 4305:4305" x14ac:dyDescent="0.35">
      <c r="A1" s="585"/>
      <c r="J1" s="544"/>
      <c r="K1" s="544"/>
      <c r="L1" s="544" t="s">
        <v>827</v>
      </c>
      <c r="M1" s="544" t="s">
        <v>835</v>
      </c>
      <c r="N1" s="544" t="s">
        <v>828</v>
      </c>
      <c r="O1" s="544"/>
      <c r="P1" s="544"/>
      <c r="Q1" s="544"/>
      <c r="R1" s="544"/>
      <c r="S1" s="544" t="s">
        <v>836</v>
      </c>
      <c r="T1" s="544" t="s">
        <v>837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"&amp;__2_AchterNaam&amp;", "&amp;__3_VoorNaam</f>
        <v>Patient: Test, Test</v>
      </c>
      <c r="C2" s="174"/>
      <c r="D2" s="132"/>
      <c r="E2" s="177"/>
      <c r="F2" s="132"/>
      <c r="G2" s="140"/>
      <c r="H2" s="46"/>
      <c r="I2" s="46"/>
      <c r="J2" s="544"/>
      <c r="K2" s="544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__4_GebDatum</f>
        <v>42736</v>
      </c>
      <c r="D3" s="132"/>
      <c r="E3" s="177"/>
      <c r="F3" s="170"/>
      <c r="G3" s="140"/>
      <c r="H3" s="46"/>
      <c r="I3" s="46"/>
      <c r="J3" s="544"/>
      <c r="K3" s="544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699</v>
      </c>
      <c r="D4" s="172" t="s">
        <v>700</v>
      </c>
      <c r="E4" s="172" t="s">
        <v>701</v>
      </c>
      <c r="F4" s="172"/>
      <c r="G4" s="172"/>
      <c r="H4" s="46"/>
      <c r="J4" s="545"/>
      <c r="K4" s="545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>_Pat_Weken</f>
        <v>30</v>
      </c>
      <c r="D5" s="172">
        <f>_Pat_Dagen</f>
        <v>0</v>
      </c>
      <c r="E5" s="172">
        <f>(_Pat_Gewicht/10)</f>
        <v>10</v>
      </c>
      <c r="F5" s="172"/>
      <c r="G5" s="172"/>
      <c r="H5" s="46"/>
      <c r="J5" s="545"/>
      <c r="K5" s="545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545"/>
      <c r="K6" s="545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338</v>
      </c>
      <c r="C7" s="178" t="s">
        <v>54</v>
      </c>
      <c r="D7" s="179" t="str">
        <f>"Maat: "&amp;IF((_Pat_Gewicht/10)&lt;1,2.5,IF(AND((_Pat_Gewicht/10)&gt;=1,(_Pat_Gewicht/10)&lt;2),3,3.5))</f>
        <v>Maat: 3,5</v>
      </c>
      <c r="E7" s="180"/>
      <c r="F7" s="180"/>
      <c r="G7" s="239"/>
      <c r="H7" s="46"/>
      <c r="I7" s="46"/>
      <c r="J7" s="544"/>
      <c r="K7" s="544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/>
      <c r="D8" s="47" t="str">
        <f>"Nasaal: "&amp;((_Pat_Gewicht/10)+6)*1.2</f>
        <v>Nasaal: 19,2</v>
      </c>
      <c r="E8" s="46"/>
      <c r="F8" s="46"/>
      <c r="G8" s="240"/>
      <c r="H8" s="46"/>
      <c r="I8" s="46"/>
      <c r="J8" s="544"/>
      <c r="K8" s="544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/>
      <c r="D9" s="47" t="str">
        <f>"Oraal: "&amp;((_Pat_Gewicht/10)+6)</f>
        <v>Oraal: 16</v>
      </c>
      <c r="E9" s="46"/>
      <c r="F9" s="46"/>
      <c r="G9" s="240"/>
      <c r="H9" s="46"/>
      <c r="I9" s="46"/>
      <c r="J9" s="544"/>
      <c r="K9" s="544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1187</v>
      </c>
      <c r="D10" s="825">
        <f>(1.5*(_Pat_Gewicht/10))+5.5</f>
        <v>20.5</v>
      </c>
      <c r="E10" s="46"/>
      <c r="F10" s="46"/>
      <c r="G10" s="240"/>
      <c r="H10" s="46"/>
      <c r="I10" s="46"/>
      <c r="J10" s="544"/>
      <c r="K10" s="544"/>
      <c r="L10" s="544"/>
      <c r="M10" s="544"/>
      <c r="N10" s="544"/>
      <c r="O10" s="544"/>
      <c r="P10" s="544"/>
      <c r="Q10" s="544"/>
      <c r="R10" s="544"/>
      <c r="S10" s="544"/>
      <c r="T10" s="544"/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1188</v>
      </c>
      <c r="D11" s="825">
        <f>(4*(_Pat_Gewicht/10))+7</f>
        <v>47</v>
      </c>
      <c r="E11" s="46"/>
      <c r="F11" s="46"/>
      <c r="G11" s="240"/>
      <c r="H11" s="46"/>
      <c r="I11" s="46"/>
      <c r="J11" s="544"/>
      <c r="K11" s="544"/>
      <c r="L11" s="544"/>
      <c r="M11" s="544"/>
      <c r="N11" s="544"/>
      <c r="O11" s="544"/>
      <c r="P11" s="544"/>
      <c r="Q11" s="544"/>
      <c r="R11" s="544"/>
      <c r="S11" s="544"/>
      <c r="T11" s="544"/>
      <c r="U11" s="544"/>
      <c r="V11" s="544"/>
      <c r="W11" s="544"/>
      <c r="X11" s="544"/>
      <c r="Y11" s="185"/>
    </row>
    <row r="12" spans="1:25 4305:4305" ht="20.100000000000001" customHeight="1" x14ac:dyDescent="0.4">
      <c r="B12" s="163"/>
      <c r="C12" s="162" t="s">
        <v>55</v>
      </c>
      <c r="D12" s="47" t="str">
        <f>IF(ROUND((E5)*4,0)&gt;150,150,VLOOKUP(ROUND(E5*4,0),S2:T347,2))&amp;" Joules Asynchroon"</f>
        <v>50 Joules Asynchroon</v>
      </c>
      <c r="E12" s="46"/>
      <c r="F12" s="46"/>
      <c r="G12" s="240" t="s">
        <v>0</v>
      </c>
      <c r="H12" s="46"/>
      <c r="I12" s="46"/>
      <c r="J12" s="544"/>
      <c r="K12" s="544"/>
      <c r="L12" s="544">
        <v>9</v>
      </c>
      <c r="M12" s="544">
        <v>20</v>
      </c>
      <c r="N12" s="544">
        <v>6.5</v>
      </c>
      <c r="O12" s="544">
        <v>9</v>
      </c>
      <c r="P12" s="544">
        <v>9</v>
      </c>
      <c r="Q12" s="544">
        <v>72</v>
      </c>
      <c r="R12" s="544"/>
      <c r="S12" s="544">
        <v>10</v>
      </c>
      <c r="T12" s="544">
        <v>10</v>
      </c>
      <c r="U12" s="544">
        <v>10</v>
      </c>
      <c r="V12" s="544"/>
      <c r="W12" s="544"/>
      <c r="X12" s="544"/>
      <c r="Y12" s="185"/>
    </row>
    <row r="13" spans="1:25 4305:4305" ht="20.100000000000001" customHeight="1" x14ac:dyDescent="0.4">
      <c r="B13" s="163"/>
      <c r="C13" s="162" t="s">
        <v>132</v>
      </c>
      <c r="D13" s="47" t="str">
        <f>IF(OR(ROUND(0.01*(E5),2)&gt;1,C5&gt;=18),"1 mg iv",ROUND(0.01*(E5),2)&amp;" mg iv")</f>
        <v>1 mg iv</v>
      </c>
      <c r="E13" s="46" t="str">
        <f>"= "&amp;IF(ROUND(0.01*(E5),2)&gt;1,"1 ml van 1mg = 10 ml (1:10.000)",ROUND(0.1*(E5),2)&amp;" ml van 1mg = 10 ml (1:10.000)")</f>
        <v>= 1 ml van 1mg = 10 ml (1:10.000)</v>
      </c>
      <c r="F13" s="46"/>
      <c r="G13" s="240" t="s">
        <v>1</v>
      </c>
      <c r="H13" s="46"/>
      <c r="I13" s="46"/>
      <c r="J13" s="544"/>
      <c r="K13" s="544"/>
      <c r="L13" s="544">
        <v>10</v>
      </c>
      <c r="M13" s="544">
        <v>20</v>
      </c>
      <c r="N13" s="544">
        <v>6.5</v>
      </c>
      <c r="O13" s="544">
        <v>10</v>
      </c>
      <c r="P13" s="544">
        <v>9.3000000000000007</v>
      </c>
      <c r="Q13" s="544">
        <v>73</v>
      </c>
      <c r="R13" s="544"/>
      <c r="S13" s="544">
        <v>11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/>
      <c r="C14" s="162" t="s">
        <v>593</v>
      </c>
      <c r="D14" s="47" t="str">
        <f>IF(0.2*E5&lt;=25,0.2*E5&amp;" gram iv","25 gram iv")</f>
        <v>2 gram iv</v>
      </c>
      <c r="E14" s="46" t="str">
        <f>"="&amp;" "&amp;IF(2*E5&lt;=250,ROUND(2*E5,2)&amp;" ml Glucose 10%","250 ml Glucose 10%")</f>
        <v>= 20 ml Glucose 10%</v>
      </c>
      <c r="F14" s="46"/>
      <c r="G14" s="240" t="s">
        <v>3</v>
      </c>
      <c r="H14" s="46"/>
      <c r="I14" s="46"/>
      <c r="J14" s="544"/>
      <c r="K14" s="544"/>
      <c r="L14" s="544">
        <v>11</v>
      </c>
      <c r="M14" s="544">
        <v>20</v>
      </c>
      <c r="N14" s="544">
        <v>7</v>
      </c>
      <c r="O14" s="544">
        <v>11</v>
      </c>
      <c r="P14" s="544">
        <v>9.5</v>
      </c>
      <c r="Q14" s="544">
        <v>74</v>
      </c>
      <c r="R14" s="544"/>
      <c r="S14" s="544">
        <v>12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thickBot="1" x14ac:dyDescent="0.45">
      <c r="B15" s="163"/>
      <c r="C15" s="181" t="s">
        <v>829</v>
      </c>
      <c r="D15" s="182" t="str">
        <f>IF(ROUND(20*E5/10,0)*10&gt;500,500,ROUND(20*E5/10,0)*10)&amp;" ml NaCl 0,9% iv per bolus"</f>
        <v>200 ml NaCl 0,9% iv per bolus</v>
      </c>
      <c r="E15" s="183"/>
      <c r="F15" s="183"/>
      <c r="G15" s="241" t="s">
        <v>4</v>
      </c>
      <c r="H15" s="46"/>
      <c r="I15" s="46"/>
      <c r="J15" s="544"/>
      <c r="K15" s="544"/>
      <c r="L15" s="544">
        <v>12</v>
      </c>
      <c r="M15" s="544">
        <v>15</v>
      </c>
      <c r="N15" s="544">
        <v>7</v>
      </c>
      <c r="O15" s="544">
        <v>12</v>
      </c>
      <c r="P15" s="544">
        <v>10</v>
      </c>
      <c r="Q15" s="544">
        <v>76</v>
      </c>
      <c r="R15" s="544"/>
      <c r="S15" s="544">
        <v>13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thickBot="1" x14ac:dyDescent="0.45">
      <c r="B16" s="24"/>
      <c r="C16" s="46"/>
      <c r="D16" s="47"/>
      <c r="E16" s="46"/>
      <c r="F16" s="46"/>
      <c r="G16" s="240"/>
      <c r="H16" s="46"/>
      <c r="I16" s="46"/>
      <c r="J16" s="544"/>
      <c r="K16" s="544"/>
      <c r="L16" s="544">
        <v>16</v>
      </c>
      <c r="M16" s="544">
        <v>15</v>
      </c>
      <c r="N16" s="544">
        <v>7</v>
      </c>
      <c r="O16" s="544"/>
      <c r="P16" s="544"/>
      <c r="Q16" s="544"/>
      <c r="R16" s="544"/>
      <c r="S16" s="544">
        <v>17</v>
      </c>
      <c r="T16" s="544">
        <v>20</v>
      </c>
      <c r="U16" s="544"/>
      <c r="V16" s="544"/>
      <c r="W16" s="544"/>
      <c r="X16" s="544"/>
      <c r="Y16" s="185"/>
    </row>
    <row r="17" spans="2:26" ht="20.100000000000001" customHeight="1" x14ac:dyDescent="0.4">
      <c r="B17" s="163" t="s">
        <v>406</v>
      </c>
      <c r="C17" s="178" t="s">
        <v>830</v>
      </c>
      <c r="D17" s="179" t="str">
        <f>IF(0.1*E5&gt;2,"2 mg iv",0.1*E5&amp;" mg iv")</f>
        <v>1 mg iv</v>
      </c>
      <c r="E17" s="180" t="str">
        <f>"= "&amp;IF(0.1*E5&gt;2,"0,1 ml van een 10 mg/ml oplossing",ROUND(0.1*E5,2)&amp;" ml van een 10 mg/ml oplossing")</f>
        <v>= 1 ml van een 10 mg/ml oplossing</v>
      </c>
      <c r="F17" s="180"/>
      <c r="G17" s="239" t="s">
        <v>702</v>
      </c>
      <c r="H17" s="46"/>
      <c r="I17" s="46"/>
      <c r="J17" s="544"/>
      <c r="K17" s="544"/>
      <c r="L17" s="544">
        <v>17</v>
      </c>
      <c r="M17" s="544">
        <v>15</v>
      </c>
      <c r="N17" s="544">
        <v>7</v>
      </c>
      <c r="O17" s="544"/>
      <c r="P17" s="544"/>
      <c r="Q17" s="544"/>
      <c r="R17" s="544"/>
      <c r="S17" s="544">
        <v>18</v>
      </c>
      <c r="T17" s="544">
        <v>20</v>
      </c>
      <c r="U17" s="544"/>
      <c r="V17" s="544"/>
      <c r="W17" s="544"/>
      <c r="X17" s="544"/>
      <c r="Y17" s="185"/>
    </row>
    <row r="18" spans="2:26" ht="15.75" customHeight="1" thickBot="1" x14ac:dyDescent="0.45">
      <c r="B18" s="24"/>
      <c r="C18" s="143"/>
      <c r="D18" s="47"/>
      <c r="E18" s="826"/>
      <c r="F18" s="826"/>
      <c r="G18" s="240"/>
      <c r="H18" s="171"/>
      <c r="I18" s="171"/>
      <c r="J18" s="546"/>
      <c r="K18" s="544"/>
      <c r="L18" s="544">
        <v>18</v>
      </c>
      <c r="M18" s="544">
        <v>15</v>
      </c>
      <c r="N18" s="544">
        <v>7</v>
      </c>
      <c r="O18" s="544"/>
      <c r="P18" s="544"/>
      <c r="Q18" s="544"/>
      <c r="R18" s="544"/>
      <c r="S18" s="544">
        <v>19</v>
      </c>
      <c r="T18" s="544">
        <v>20</v>
      </c>
      <c r="U18" s="544"/>
      <c r="V18" s="544"/>
      <c r="W18" s="544"/>
      <c r="X18" s="544"/>
      <c r="Y18" s="185"/>
    </row>
    <row r="19" spans="2:26" ht="20.100000000000001" customHeight="1" x14ac:dyDescent="0.4">
      <c r="B19" s="163" t="s">
        <v>291</v>
      </c>
      <c r="C19" s="178" t="s">
        <v>831</v>
      </c>
      <c r="D19" s="179" t="str">
        <f>0.1*E5&amp;" mg iv"</f>
        <v>1 mg iv</v>
      </c>
      <c r="E19" s="180" t="str">
        <f>"= "&amp;ROUND((0.1*E5),2)&amp;" ml van Anexate 0,1 mg/ml"</f>
        <v>= 1 ml van Anexate 0,1 mg/ml</v>
      </c>
      <c r="F19" s="180"/>
      <c r="G19" s="239"/>
      <c r="H19" s="171"/>
      <c r="I19" s="171"/>
      <c r="J19" s="546"/>
      <c r="K19" s="544"/>
      <c r="L19" s="544"/>
      <c r="M19" s="544"/>
      <c r="N19" s="544"/>
      <c r="O19" s="544"/>
      <c r="P19" s="544"/>
      <c r="Q19" s="544"/>
      <c r="R19" s="544"/>
      <c r="S19" s="544">
        <v>20</v>
      </c>
      <c r="T19" s="544">
        <v>20</v>
      </c>
      <c r="U19" s="544">
        <v>20</v>
      </c>
      <c r="V19" s="544"/>
      <c r="W19" s="544"/>
      <c r="X19" s="544"/>
      <c r="Y19" s="185"/>
    </row>
    <row r="20" spans="2:26" ht="20.100000000000001" customHeight="1" x14ac:dyDescent="0.4">
      <c r="B20" s="163"/>
      <c r="C20" s="162" t="s">
        <v>832</v>
      </c>
      <c r="D20" s="47" t="str">
        <f>IF(0.01*E5&gt;0.4,"0,4 mg iv",0.01*E5&amp;" mg iv")</f>
        <v>0,1 mg iv</v>
      </c>
      <c r="E20" s="874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4"/>
      <c r="G20" s="240" t="s">
        <v>9</v>
      </c>
      <c r="H20" s="46"/>
      <c r="I20" s="46"/>
      <c r="J20" s="544"/>
      <c r="K20" s="544"/>
      <c r="L20" s="544"/>
      <c r="M20" s="544"/>
      <c r="N20" s="544"/>
      <c r="O20" s="544"/>
      <c r="P20" s="544"/>
      <c r="Q20" s="544"/>
      <c r="R20" s="544"/>
      <c r="S20" s="544">
        <v>21</v>
      </c>
      <c r="T20" s="544">
        <v>30</v>
      </c>
      <c r="U20" s="544"/>
      <c r="V20" s="544"/>
      <c r="W20" s="544"/>
      <c r="X20" s="544"/>
      <c r="Y20" s="185"/>
    </row>
    <row r="21" spans="2:26" ht="20.100000000000001" customHeight="1" thickBot="1" x14ac:dyDescent="0.45">
      <c r="B21" s="163"/>
      <c r="C21" s="181"/>
      <c r="D21" s="182"/>
      <c r="E21" s="875"/>
      <c r="F21" s="875"/>
      <c r="G21" s="241"/>
      <c r="H21" s="46"/>
      <c r="I21" s="46"/>
      <c r="J21" s="544"/>
      <c r="K21" s="544"/>
      <c r="L21" s="544" t="s">
        <v>1185</v>
      </c>
      <c r="M21" s="544" t="s">
        <v>1186</v>
      </c>
      <c r="N21" s="544" t="s">
        <v>828</v>
      </c>
      <c r="O21" s="544"/>
      <c r="P21" s="544"/>
      <c r="Q21" s="544"/>
      <c r="R21" s="544"/>
      <c r="S21" s="544">
        <v>22</v>
      </c>
      <c r="T21" s="544">
        <v>30</v>
      </c>
      <c r="U21" s="544"/>
      <c r="V21" s="544"/>
      <c r="W21" s="544"/>
      <c r="X21" s="544"/>
      <c r="Y21" s="185"/>
    </row>
    <row r="22" spans="2:26" ht="20.100000000000001" customHeight="1" thickBot="1" x14ac:dyDescent="0.45">
      <c r="B22" s="24"/>
      <c r="C22" s="143"/>
      <c r="D22" s="47"/>
      <c r="E22" s="826"/>
      <c r="F22" s="826"/>
      <c r="G22" s="240"/>
      <c r="H22" s="46"/>
      <c r="I22" s="46"/>
      <c r="J22" s="544"/>
      <c r="K22" s="544"/>
      <c r="L22" s="544">
        <v>0</v>
      </c>
      <c r="M22" s="544">
        <v>1</v>
      </c>
      <c r="N22" s="544">
        <v>2.5</v>
      </c>
      <c r="O22" s="544"/>
      <c r="P22" s="544"/>
      <c r="Q22" s="544"/>
      <c r="R22" s="544"/>
      <c r="S22" s="544">
        <v>23</v>
      </c>
      <c r="T22" s="544">
        <v>30</v>
      </c>
      <c r="U22" s="544"/>
      <c r="V22" s="544"/>
      <c r="W22" s="544"/>
      <c r="X22" s="544"/>
      <c r="Y22" s="185"/>
    </row>
    <row r="23" spans="2:26" ht="20.100000000000001" customHeight="1" x14ac:dyDescent="0.4">
      <c r="B23" s="163" t="s">
        <v>292</v>
      </c>
      <c r="C23" s="178" t="s">
        <v>798</v>
      </c>
      <c r="D23" s="828" t="str">
        <f>CONCATENATE(0.0144*(_Pat_Gewicht/10), " mg in 12 ml glucose 10%")</f>
        <v>0,144 mg in 12 ml glucose 10%</v>
      </c>
      <c r="E23" s="180" t="s">
        <v>1189</v>
      </c>
      <c r="F23" s="180"/>
      <c r="G23" s="239" t="s">
        <v>703</v>
      </c>
      <c r="H23" s="46"/>
      <c r="I23" s="46"/>
      <c r="J23" s="544"/>
      <c r="K23" s="544"/>
      <c r="L23" s="544">
        <v>1</v>
      </c>
      <c r="M23" s="544">
        <v>2</v>
      </c>
      <c r="N23" s="544">
        <v>3</v>
      </c>
      <c r="O23" s="544"/>
      <c r="P23" s="544"/>
      <c r="Q23" s="544"/>
      <c r="R23" s="544"/>
      <c r="S23" s="544">
        <v>24</v>
      </c>
      <c r="T23" s="544">
        <v>30</v>
      </c>
      <c r="U23" s="544"/>
      <c r="V23" s="544"/>
      <c r="W23" s="544"/>
      <c r="X23" s="544"/>
      <c r="Y23" s="185"/>
    </row>
    <row r="24" spans="2:26" ht="20.100000000000001" customHeight="1" x14ac:dyDescent="0.45">
      <c r="B24" s="163"/>
      <c r="C24" s="162" t="s">
        <v>833</v>
      </c>
      <c r="D24" s="47" t="str">
        <f>CONCATENATE(7.2*(_Pat_Gewicht/10), " mg in 12 ml glucose 10%")</f>
        <v>72 mg in 12 ml glucose 10%</v>
      </c>
      <c r="E24" s="46" t="s">
        <v>1190</v>
      </c>
      <c r="F24" s="46"/>
      <c r="G24" s="240" t="s">
        <v>353</v>
      </c>
      <c r="H24" s="46"/>
      <c r="I24" s="46"/>
      <c r="J24" s="549"/>
      <c r="K24" s="544"/>
      <c r="L24" s="544">
        <v>2</v>
      </c>
      <c r="M24" s="544">
        <v>150</v>
      </c>
      <c r="N24" s="544">
        <v>3.5</v>
      </c>
      <c r="O24" s="544"/>
      <c r="P24" s="544"/>
      <c r="Q24" s="544"/>
      <c r="R24" s="544"/>
      <c r="S24" s="544">
        <v>25</v>
      </c>
      <c r="T24" s="544">
        <v>30</v>
      </c>
      <c r="U24" s="544"/>
      <c r="V24" s="544"/>
      <c r="W24" s="544"/>
      <c r="X24" s="544"/>
      <c r="Y24" s="185"/>
    </row>
    <row r="25" spans="2:26" ht="20.100000000000001" customHeight="1" thickBot="1" x14ac:dyDescent="0.45">
      <c r="B25" s="163"/>
      <c r="C25" s="181" t="s">
        <v>834</v>
      </c>
      <c r="D25" s="182" t="str">
        <f>CONCATENATE(0.072*(_Pat_Gewicht/10), " mg in 12 ml glucose 10%")</f>
        <v>0,72 mg in 12 ml glucose 10%</v>
      </c>
      <c r="E25" s="829" t="s">
        <v>1191</v>
      </c>
      <c r="F25" s="183"/>
      <c r="G25" s="241" t="s">
        <v>415</v>
      </c>
      <c r="H25" s="46"/>
      <c r="I25" s="46"/>
      <c r="J25" s="544"/>
      <c r="K25" s="544"/>
      <c r="L25" s="544"/>
      <c r="M25" s="544"/>
      <c r="N25" s="544"/>
      <c r="O25" s="544"/>
      <c r="P25" s="544"/>
      <c r="Q25" s="544"/>
      <c r="R25" s="544"/>
      <c r="S25" s="544">
        <v>29</v>
      </c>
      <c r="T25" s="544">
        <v>30</v>
      </c>
      <c r="U25" s="544"/>
      <c r="V25" s="544"/>
      <c r="W25" s="544"/>
      <c r="X25" s="544"/>
      <c r="Y25" s="185"/>
    </row>
    <row r="26" spans="2:26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544"/>
      <c r="K26" s="544"/>
      <c r="L26" s="544"/>
      <c r="M26" s="544"/>
      <c r="N26" s="544"/>
      <c r="O26" s="544"/>
      <c r="P26" s="544"/>
      <c r="Q26" s="544"/>
      <c r="R26" s="544"/>
      <c r="S26" s="544">
        <v>32</v>
      </c>
      <c r="T26" s="544">
        <v>50</v>
      </c>
      <c r="U26" s="544"/>
      <c r="V26" s="544"/>
      <c r="W26" s="544"/>
      <c r="X26" s="544"/>
      <c r="Y26" s="185"/>
    </row>
    <row r="27" spans="2:26" ht="26.05" thickBot="1" x14ac:dyDescent="0.45">
      <c r="B27" s="837" t="s">
        <v>92</v>
      </c>
      <c r="C27" s="833" t="s">
        <v>294</v>
      </c>
      <c r="D27" s="831" t="str">
        <f>CONCATENATE(0.1*(_Pat_Gewicht/10), " mg")</f>
        <v>1 mg</v>
      </c>
      <c r="E27" s="832" t="str">
        <f>"= "&amp;0.02*(_Pat_Gewicht/10)&amp;" ml van Midazolam 5mg/ml oplossing"</f>
        <v>= 0,2 ml van Midazolam 5mg/ml oplossing</v>
      </c>
      <c r="F27" s="832"/>
      <c r="G27" s="838"/>
      <c r="H27" s="46"/>
      <c r="I27" s="46"/>
      <c r="J27" s="544"/>
      <c r="K27" s="544"/>
      <c r="L27" s="544"/>
      <c r="M27" s="544"/>
      <c r="N27" s="544"/>
      <c r="O27" s="544"/>
      <c r="P27" s="544"/>
      <c r="Q27" s="544"/>
      <c r="R27" s="544"/>
      <c r="S27" s="544">
        <v>33</v>
      </c>
      <c r="T27" s="544">
        <v>50</v>
      </c>
      <c r="U27" s="544"/>
      <c r="V27" s="544"/>
      <c r="W27" s="544"/>
      <c r="X27" s="544"/>
      <c r="Y27" s="185"/>
    </row>
    <row r="28" spans="2:26" ht="20.100000000000001" customHeight="1" thickBot="1" x14ac:dyDescent="0.45">
      <c r="B28" s="830"/>
      <c r="C28" s="833" t="s">
        <v>1192</v>
      </c>
      <c r="D28" s="834" t="str">
        <f>CONCATENATE(20*(_Pat_Gewicht/10), " mg")</f>
        <v>200 mg</v>
      </c>
      <c r="E28" s="835" t="str">
        <f>"= "&amp;0.4*(_Pat_Gewicht/10)&amp;" ml van Fenobarbital 50mg/ml oplossing"</f>
        <v>= 4 ml van Fenobarbital 50mg/ml oplossing</v>
      </c>
      <c r="F28" s="835"/>
      <c r="G28" s="836"/>
      <c r="H28" s="46"/>
      <c r="I28" s="46"/>
      <c r="J28" s="544"/>
      <c r="K28" s="544"/>
      <c r="L28" s="544"/>
      <c r="M28" s="544"/>
      <c r="N28" s="544"/>
      <c r="O28" s="544"/>
      <c r="P28" s="544"/>
      <c r="Q28" s="544"/>
      <c r="R28" s="544"/>
      <c r="S28" s="544">
        <v>41</v>
      </c>
      <c r="T28" s="544">
        <v>50</v>
      </c>
      <c r="U28" s="544"/>
      <c r="V28" s="544"/>
      <c r="W28" s="544"/>
      <c r="X28" s="544"/>
      <c r="Y28" s="185"/>
    </row>
    <row r="29" spans="2:26" ht="13.5" customHeight="1" thickBot="1" x14ac:dyDescent="0.45">
      <c r="B29" s="24"/>
      <c r="C29" s="46"/>
      <c r="D29" s="47"/>
      <c r="E29" s="46"/>
      <c r="F29" s="46"/>
      <c r="G29" s="244"/>
      <c r="H29" s="46"/>
      <c r="I29" s="46"/>
      <c r="J29" s="544"/>
      <c r="K29" s="544"/>
      <c r="L29" s="544"/>
      <c r="M29" s="544"/>
      <c r="N29" s="544"/>
      <c r="O29" s="544"/>
      <c r="P29" s="544"/>
      <c r="Q29" s="544"/>
      <c r="R29" s="544"/>
      <c r="S29" s="544">
        <v>42</v>
      </c>
      <c r="T29" s="544">
        <v>50</v>
      </c>
      <c r="U29" s="544"/>
      <c r="V29" s="544"/>
      <c r="W29" s="544"/>
      <c r="X29" s="544"/>
      <c r="Y29" s="185"/>
    </row>
    <row r="30" spans="2:26" ht="19.55" customHeight="1" x14ac:dyDescent="0.4">
      <c r="B30" s="847" t="s">
        <v>764</v>
      </c>
      <c r="C30" s="848" t="s">
        <v>1193</v>
      </c>
      <c r="D30" s="860" t="str">
        <f>CONCATENATE(0.225*(_Pat_Gewicht/10)," (mmol IV)")</f>
        <v>2,25 (mmol IV)</v>
      </c>
      <c r="E30" s="849" t="str">
        <f>"= "&amp;1*(_Pat_Gewicht/10)&amp;" ml IV van Calcium gluconaat 10%"</f>
        <v>= 10 ml IV van Calcium gluconaat 10%</v>
      </c>
      <c r="F30" s="849"/>
      <c r="G30" s="854"/>
      <c r="H30" s="842"/>
      <c r="I30" s="842"/>
      <c r="J30" s="858"/>
      <c r="K30" s="858"/>
      <c r="L30" s="858"/>
      <c r="M30" s="858"/>
      <c r="N30" s="858"/>
      <c r="O30" s="858"/>
      <c r="P30" s="858"/>
      <c r="Q30" s="858"/>
      <c r="R30" s="858"/>
      <c r="S30" s="858">
        <v>45</v>
      </c>
      <c r="T30" s="858">
        <v>50</v>
      </c>
      <c r="U30" s="858"/>
      <c r="V30" s="858"/>
      <c r="W30" s="858"/>
      <c r="X30" s="858"/>
      <c r="Y30" s="853"/>
      <c r="Z30" s="185"/>
    </row>
    <row r="31" spans="2:26" ht="19.55" customHeight="1" x14ac:dyDescent="0.45">
      <c r="B31" s="847"/>
      <c r="C31" s="846" t="s">
        <v>137</v>
      </c>
      <c r="D31" s="843" t="str">
        <f>CONCATENATE(0.1*(_Pat_Gewicht/10)," mg")</f>
        <v>1 mg</v>
      </c>
      <c r="E31" s="842" t="str">
        <f>"= "&amp;0.1*(_Pat_Gewicht/10)&amp;" ml van Morfine 1mg/1ml oplossing"</f>
        <v>= 1 ml van Morfine 1mg/1ml oplossing</v>
      </c>
      <c r="F31" s="842"/>
      <c r="G31" s="855"/>
      <c r="H31" s="842"/>
      <c r="I31" s="842"/>
      <c r="J31" s="859"/>
      <c r="K31" s="858"/>
      <c r="L31" s="858"/>
      <c r="M31" s="858"/>
      <c r="N31" s="858"/>
      <c r="O31" s="858"/>
      <c r="P31" s="858"/>
      <c r="Q31" s="858"/>
      <c r="R31" s="858"/>
      <c r="S31" s="858">
        <v>46</v>
      </c>
      <c r="T31" s="858">
        <v>50</v>
      </c>
      <c r="U31" s="858"/>
      <c r="V31" s="858"/>
      <c r="W31" s="858"/>
      <c r="X31" s="858"/>
      <c r="Y31" s="853"/>
    </row>
    <row r="32" spans="2:26" ht="19.55" customHeight="1" thickBot="1" x14ac:dyDescent="0.45">
      <c r="B32" s="847"/>
      <c r="C32" s="850" t="s">
        <v>819</v>
      </c>
      <c r="D32" s="851" t="str">
        <f>CONCATENATE(0.6*(_Pat_Gewicht/10)," mg")</f>
        <v>6 mg</v>
      </c>
      <c r="E32" s="852" t="str">
        <f>"= "&amp;0.06*(_Pat_Gewicht/10)&amp;" ml van Rocorium 10mg/1ml oplossing"</f>
        <v>= 0,6 ml van Rocorium 10mg/1ml oplossing</v>
      </c>
      <c r="F32" s="852"/>
      <c r="G32" s="856"/>
      <c r="H32" s="842"/>
      <c r="I32" s="842"/>
      <c r="J32" s="858"/>
      <c r="K32" s="858"/>
      <c r="L32" s="858"/>
      <c r="M32" s="858"/>
      <c r="N32" s="858"/>
      <c r="O32" s="858"/>
      <c r="P32" s="858"/>
      <c r="Q32" s="858"/>
      <c r="R32" s="858"/>
      <c r="S32" s="858">
        <v>47</v>
      </c>
      <c r="T32" s="858">
        <v>50</v>
      </c>
      <c r="U32" s="858"/>
      <c r="V32" s="858"/>
      <c r="W32" s="858"/>
      <c r="X32" s="858"/>
      <c r="Y32" s="853"/>
    </row>
    <row r="33" spans="2:25" ht="19.55" customHeight="1" x14ac:dyDescent="0.35">
      <c r="B33" s="841"/>
      <c r="C33" s="839"/>
      <c r="D33" s="839"/>
      <c r="E33" s="839"/>
      <c r="F33" s="839"/>
      <c r="G33" s="839"/>
      <c r="H33" s="842"/>
      <c r="I33" s="842"/>
      <c r="J33" s="858"/>
      <c r="K33" s="858"/>
      <c r="L33" s="858"/>
      <c r="M33" s="858"/>
      <c r="N33" s="858"/>
      <c r="O33" s="858"/>
      <c r="P33" s="858"/>
      <c r="Q33" s="858"/>
      <c r="R33" s="858"/>
      <c r="S33" s="858">
        <v>48</v>
      </c>
      <c r="T33" s="858">
        <v>50</v>
      </c>
      <c r="U33" s="858"/>
      <c r="V33" s="858"/>
      <c r="W33" s="858"/>
      <c r="X33" s="858"/>
      <c r="Y33" s="853"/>
    </row>
    <row r="34" spans="2:25" ht="13.2" x14ac:dyDescent="0.4">
      <c r="B34" s="841"/>
      <c r="C34" s="842"/>
      <c r="D34" s="843"/>
      <c r="E34" s="842"/>
      <c r="F34" s="842"/>
      <c r="G34" s="857"/>
      <c r="H34" s="842"/>
      <c r="I34" s="842"/>
      <c r="J34" s="858"/>
      <c r="K34" s="858"/>
      <c r="L34" s="858"/>
      <c r="M34" s="858"/>
      <c r="N34" s="858"/>
      <c r="O34" s="858"/>
      <c r="P34" s="858"/>
      <c r="Q34" s="858"/>
      <c r="R34" s="858"/>
      <c r="S34" s="858">
        <v>49</v>
      </c>
      <c r="T34" s="858">
        <v>50</v>
      </c>
      <c r="U34" s="858"/>
      <c r="V34" s="858"/>
      <c r="W34" s="858"/>
      <c r="X34" s="858"/>
      <c r="Y34" s="853"/>
    </row>
    <row r="35" spans="2:25" x14ac:dyDescent="0.35">
      <c r="B35" s="840"/>
      <c r="C35" s="842"/>
      <c r="D35" s="842"/>
      <c r="E35" s="842"/>
      <c r="F35" s="842"/>
      <c r="G35" s="842"/>
      <c r="H35" s="842"/>
      <c r="I35" s="842"/>
      <c r="J35" s="858"/>
      <c r="K35" s="858"/>
      <c r="L35" s="858"/>
      <c r="M35" s="858"/>
      <c r="N35" s="858"/>
      <c r="O35" s="858"/>
      <c r="P35" s="858"/>
      <c r="Q35" s="858"/>
      <c r="R35" s="858"/>
      <c r="S35" s="858">
        <v>50</v>
      </c>
      <c r="T35" s="858">
        <v>50</v>
      </c>
      <c r="U35" s="858">
        <v>50</v>
      </c>
      <c r="V35" s="858"/>
      <c r="W35" s="858"/>
      <c r="X35" s="858"/>
      <c r="Y35" s="853"/>
    </row>
    <row r="36" spans="2:25" x14ac:dyDescent="0.35">
      <c r="B36" s="845" t="s">
        <v>85</v>
      </c>
      <c r="C36" s="844"/>
      <c r="D36" s="842"/>
      <c r="E36" s="842"/>
      <c r="F36" s="842"/>
      <c r="G36" s="842"/>
      <c r="H36" s="842"/>
      <c r="I36" s="842"/>
      <c r="J36" s="858"/>
      <c r="K36" s="858"/>
      <c r="L36" s="858"/>
      <c r="M36" s="858"/>
      <c r="N36" s="858"/>
      <c r="O36" s="858"/>
      <c r="P36" s="858"/>
      <c r="Q36" s="858"/>
      <c r="R36" s="858"/>
      <c r="S36" s="858">
        <v>51</v>
      </c>
      <c r="T36" s="858">
        <v>70</v>
      </c>
      <c r="U36" s="858"/>
      <c r="V36" s="858"/>
      <c r="W36" s="858"/>
      <c r="X36" s="858"/>
      <c r="Y36" s="853"/>
    </row>
    <row r="37" spans="2:25" x14ac:dyDescent="0.35">
      <c r="B37" s="55"/>
      <c r="C37" s="46"/>
      <c r="D37" s="46"/>
      <c r="E37" s="46"/>
      <c r="F37" s="46"/>
      <c r="G37" s="46"/>
      <c r="H37" s="46"/>
      <c r="I37" s="46"/>
      <c r="J37" s="544"/>
      <c r="K37" s="544"/>
      <c r="L37" s="544"/>
      <c r="M37" s="544"/>
      <c r="N37" s="544"/>
      <c r="O37" s="544"/>
      <c r="P37" s="544"/>
      <c r="Q37" s="544"/>
      <c r="R37" s="544"/>
      <c r="S37" s="544">
        <v>50</v>
      </c>
      <c r="T37" s="544">
        <v>50</v>
      </c>
      <c r="U37" s="544">
        <v>50</v>
      </c>
      <c r="V37" s="544"/>
      <c r="W37" s="544"/>
      <c r="X37" s="544"/>
      <c r="Y37" s="185"/>
    </row>
    <row r="38" spans="2:25" x14ac:dyDescent="0.35">
      <c r="B38" s="55"/>
      <c r="C38" s="46"/>
      <c r="D38" s="46"/>
      <c r="E38" s="46"/>
      <c r="F38" s="46"/>
      <c r="G38" s="46"/>
      <c r="H38" s="46"/>
      <c r="I38" s="46"/>
      <c r="J38" s="544"/>
      <c r="K38" s="544"/>
      <c r="L38" s="544"/>
      <c r="M38" s="544"/>
      <c r="N38" s="544"/>
      <c r="O38" s="544"/>
      <c r="P38" s="544"/>
      <c r="Q38" s="544"/>
      <c r="R38" s="544"/>
      <c r="S38" s="544">
        <v>51</v>
      </c>
      <c r="T38" s="544">
        <v>70</v>
      </c>
      <c r="U38" s="544"/>
      <c r="V38" s="544"/>
      <c r="W38" s="544"/>
      <c r="X38" s="544"/>
      <c r="Y38" s="185"/>
    </row>
    <row r="39" spans="2:25" x14ac:dyDescent="0.35">
      <c r="B39" s="55"/>
      <c r="C39" s="46"/>
      <c r="D39" s="46"/>
      <c r="E39" s="46"/>
      <c r="F39" s="46"/>
      <c r="G39" s="46"/>
      <c r="H39" s="46"/>
      <c r="I39" s="46"/>
      <c r="J39" s="544"/>
      <c r="K39" s="544"/>
      <c r="L39" s="544"/>
      <c r="M39" s="544"/>
      <c r="N39" s="544"/>
      <c r="O39" s="544"/>
      <c r="P39" s="544"/>
      <c r="Q39" s="544"/>
      <c r="R39" s="544"/>
      <c r="S39" s="544">
        <v>52</v>
      </c>
      <c r="T39" s="544">
        <v>70</v>
      </c>
      <c r="U39" s="544"/>
      <c r="V39" s="544"/>
      <c r="W39" s="544"/>
      <c r="X39" s="544"/>
      <c r="Y39" s="185"/>
    </row>
    <row r="40" spans="2:25" x14ac:dyDescent="0.35">
      <c r="B40" s="55"/>
      <c r="C40" s="46"/>
      <c r="D40" s="46"/>
      <c r="E40" s="46"/>
      <c r="F40" s="46"/>
      <c r="G40" s="46"/>
      <c r="H40" s="46"/>
      <c r="I40" s="46"/>
      <c r="J40" s="544"/>
      <c r="K40" s="544"/>
      <c r="L40" s="544"/>
      <c r="M40" s="544"/>
      <c r="N40" s="544"/>
      <c r="O40" s="544"/>
      <c r="P40" s="544"/>
      <c r="Q40" s="544"/>
      <c r="R40" s="544"/>
      <c r="S40" s="544">
        <v>53</v>
      </c>
      <c r="T40" s="544">
        <v>70</v>
      </c>
      <c r="U40" s="544"/>
      <c r="V40" s="544"/>
      <c r="W40" s="544"/>
      <c r="X40" s="544"/>
      <c r="Y40" s="185"/>
    </row>
    <row r="41" spans="2:25" x14ac:dyDescent="0.35">
      <c r="B41" s="55"/>
      <c r="C41" s="46"/>
      <c r="D41" s="46"/>
      <c r="E41" s="46"/>
      <c r="F41" s="46"/>
      <c r="G41" s="46"/>
      <c r="H41" s="46"/>
      <c r="I41" s="46"/>
      <c r="J41" s="544"/>
      <c r="K41" s="544"/>
      <c r="L41" s="544"/>
      <c r="M41" s="544"/>
      <c r="N41" s="544"/>
      <c r="O41" s="544"/>
      <c r="P41" s="544"/>
      <c r="Q41" s="544"/>
      <c r="R41" s="544"/>
      <c r="S41" s="544">
        <v>54</v>
      </c>
      <c r="T41" s="544">
        <v>70</v>
      </c>
      <c r="U41" s="544"/>
      <c r="V41" s="544"/>
      <c r="W41" s="544"/>
      <c r="X41" s="544"/>
      <c r="Y41" s="185"/>
    </row>
    <row r="42" spans="2:25" x14ac:dyDescent="0.35">
      <c r="B42" s="55"/>
      <c r="C42" s="46"/>
      <c r="D42" s="46"/>
      <c r="E42" s="46"/>
      <c r="F42" s="46"/>
      <c r="G42" s="46"/>
      <c r="H42" s="46"/>
      <c r="I42" s="46"/>
      <c r="J42" s="544"/>
      <c r="K42" s="544"/>
      <c r="L42" s="544"/>
      <c r="M42" s="544"/>
      <c r="N42" s="544"/>
      <c r="O42" s="544"/>
      <c r="P42" s="544"/>
      <c r="Q42" s="544"/>
      <c r="R42" s="544"/>
      <c r="S42" s="544">
        <v>55</v>
      </c>
      <c r="T42" s="544">
        <v>70</v>
      </c>
      <c r="U42" s="544"/>
      <c r="V42" s="544"/>
      <c r="W42" s="544"/>
      <c r="X42" s="544"/>
      <c r="Y42" s="185"/>
    </row>
    <row r="43" spans="2:25" x14ac:dyDescent="0.35">
      <c r="B43" s="55"/>
      <c r="C43" s="46"/>
      <c r="D43" s="46"/>
      <c r="E43" s="46"/>
      <c r="F43" s="46"/>
      <c r="G43" s="46"/>
      <c r="H43" s="46"/>
      <c r="I43" s="46"/>
      <c r="J43" s="544"/>
      <c r="K43" s="544"/>
      <c r="L43" s="544"/>
      <c r="M43" s="544"/>
      <c r="N43" s="544"/>
      <c r="O43" s="544"/>
      <c r="P43" s="544"/>
      <c r="Q43" s="544"/>
      <c r="R43" s="544"/>
      <c r="S43" s="544">
        <v>56</v>
      </c>
      <c r="T43" s="544">
        <v>70</v>
      </c>
      <c r="U43" s="544"/>
      <c r="V43" s="544"/>
      <c r="W43" s="544"/>
      <c r="X43" s="544"/>
      <c r="Y43" s="185"/>
    </row>
    <row r="44" spans="2:25" x14ac:dyDescent="0.35">
      <c r="B44" s="55"/>
      <c r="C44" s="46"/>
      <c r="D44" s="46"/>
      <c r="E44" s="46"/>
      <c r="F44" s="46"/>
      <c r="G44" s="46"/>
      <c r="H44" s="46"/>
      <c r="I44" s="46"/>
      <c r="J44" s="544"/>
      <c r="K44" s="544"/>
      <c r="L44" s="544"/>
      <c r="M44" s="544"/>
      <c r="N44" s="544"/>
      <c r="O44" s="544"/>
      <c r="P44" s="544"/>
      <c r="Q44" s="544"/>
      <c r="R44" s="544"/>
      <c r="S44" s="544">
        <v>57</v>
      </c>
      <c r="T44" s="544">
        <v>70</v>
      </c>
      <c r="U44" s="544"/>
      <c r="V44" s="544"/>
      <c r="W44" s="544"/>
      <c r="X44" s="544"/>
      <c r="Y44" s="185"/>
    </row>
    <row r="45" spans="2:25" x14ac:dyDescent="0.35">
      <c r="B45" s="55"/>
      <c r="C45" s="46"/>
      <c r="D45" s="46"/>
      <c r="E45" s="46"/>
      <c r="F45" s="46"/>
      <c r="G45" s="46"/>
      <c r="H45" s="46"/>
      <c r="I45" s="46"/>
      <c r="J45" s="544"/>
      <c r="K45" s="544"/>
      <c r="L45" s="544"/>
      <c r="M45" s="544"/>
      <c r="N45" s="544"/>
      <c r="O45" s="544"/>
      <c r="P45" s="544"/>
      <c r="Q45" s="544"/>
      <c r="R45" s="544"/>
      <c r="S45" s="544">
        <v>58</v>
      </c>
      <c r="T45" s="544">
        <v>70</v>
      </c>
      <c r="U45" s="544"/>
      <c r="V45" s="544"/>
      <c r="W45" s="544"/>
      <c r="X45" s="544"/>
      <c r="Y45" s="185"/>
    </row>
    <row r="46" spans="2:25" x14ac:dyDescent="0.35">
      <c r="B46" s="55"/>
      <c r="C46" s="46"/>
      <c r="D46" s="46"/>
      <c r="E46" s="46"/>
      <c r="F46" s="46"/>
      <c r="G46" s="46"/>
      <c r="H46" s="46"/>
      <c r="I46" s="46"/>
      <c r="J46" s="544"/>
      <c r="K46" s="544"/>
      <c r="L46" s="544"/>
      <c r="M46" s="544"/>
      <c r="N46" s="544"/>
      <c r="O46" s="544"/>
      <c r="P46" s="544"/>
      <c r="Q46" s="544"/>
      <c r="R46" s="544"/>
      <c r="S46" s="544">
        <v>59</v>
      </c>
      <c r="T46" s="544">
        <v>70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J47" s="544"/>
      <c r="K47" s="544"/>
      <c r="L47" s="544"/>
      <c r="M47" s="544"/>
      <c r="N47" s="544"/>
      <c r="O47" s="544"/>
      <c r="P47" s="544"/>
      <c r="Q47" s="544"/>
      <c r="R47" s="544"/>
      <c r="S47" s="544">
        <v>60</v>
      </c>
      <c r="T47" s="544">
        <v>70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J48" s="544"/>
      <c r="K48" s="544"/>
      <c r="L48" s="544"/>
      <c r="M48" s="544"/>
      <c r="N48" s="544"/>
      <c r="O48" s="544"/>
      <c r="P48" s="544"/>
      <c r="Q48" s="544"/>
      <c r="R48" s="544"/>
      <c r="S48" s="544">
        <v>61</v>
      </c>
      <c r="T48" s="544">
        <v>70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J49" s="544"/>
      <c r="K49" s="544"/>
      <c r="L49" s="544"/>
      <c r="M49" s="544"/>
      <c r="N49" s="544"/>
      <c r="O49" s="544"/>
      <c r="P49" s="544"/>
      <c r="Q49" s="544"/>
      <c r="R49" s="544"/>
      <c r="S49" s="544">
        <v>62</v>
      </c>
      <c r="T49" s="544">
        <v>70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J50" s="544"/>
      <c r="K50" s="544"/>
      <c r="L50" s="544"/>
      <c r="M50" s="544"/>
      <c r="N50" s="544"/>
      <c r="O50" s="544"/>
      <c r="P50" s="544"/>
      <c r="Q50" s="544"/>
      <c r="R50" s="544"/>
      <c r="S50" s="544">
        <v>63</v>
      </c>
      <c r="T50" s="544">
        <v>70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J51" s="544"/>
      <c r="K51" s="544"/>
      <c r="L51" s="544"/>
      <c r="M51" s="544"/>
      <c r="N51" s="544"/>
      <c r="O51" s="544"/>
      <c r="P51" s="544"/>
      <c r="Q51" s="544"/>
      <c r="R51" s="544"/>
      <c r="S51" s="544">
        <v>64</v>
      </c>
      <c r="T51" s="544">
        <v>70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J52" s="544"/>
      <c r="K52" s="544"/>
      <c r="L52" s="544"/>
      <c r="M52" s="544"/>
      <c r="N52" s="544"/>
      <c r="O52" s="544"/>
      <c r="P52" s="544"/>
      <c r="Q52" s="544"/>
      <c r="R52" s="544"/>
      <c r="S52" s="544">
        <v>65</v>
      </c>
      <c r="T52" s="544">
        <v>70</v>
      </c>
      <c r="U52" s="544"/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J53" s="544"/>
      <c r="K53" s="544"/>
      <c r="L53" s="544"/>
      <c r="M53" s="544"/>
      <c r="N53" s="544"/>
      <c r="O53" s="544"/>
      <c r="P53" s="544"/>
      <c r="Q53" s="544"/>
      <c r="R53" s="544"/>
      <c r="S53" s="544">
        <v>66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J54" s="544"/>
      <c r="K54" s="544"/>
      <c r="L54" s="544"/>
      <c r="M54" s="544"/>
      <c r="N54" s="544"/>
      <c r="O54" s="544"/>
      <c r="P54" s="544"/>
      <c r="Q54" s="544"/>
      <c r="R54" s="544"/>
      <c r="S54" s="544">
        <v>67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J55" s="544"/>
      <c r="K55" s="544"/>
      <c r="L55" s="544"/>
      <c r="M55" s="544"/>
      <c r="N55" s="544"/>
      <c r="O55" s="544"/>
      <c r="P55" s="544"/>
      <c r="Q55" s="544"/>
      <c r="R55" s="544"/>
      <c r="S55" s="544">
        <v>68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J56" s="544"/>
      <c r="K56" s="544"/>
      <c r="L56" s="544"/>
      <c r="M56" s="544"/>
      <c r="N56" s="544"/>
      <c r="O56" s="544"/>
      <c r="P56" s="544"/>
      <c r="Q56" s="544"/>
      <c r="R56" s="544"/>
      <c r="S56" s="544">
        <v>69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J57" s="544"/>
      <c r="K57" s="544"/>
      <c r="L57" s="544"/>
      <c r="M57" s="544"/>
      <c r="N57" s="544"/>
      <c r="O57" s="544"/>
      <c r="P57" s="544"/>
      <c r="Q57" s="544"/>
      <c r="R57" s="544"/>
      <c r="S57" s="544">
        <v>70</v>
      </c>
      <c r="T57" s="544">
        <v>70</v>
      </c>
      <c r="U57" s="544">
        <v>70</v>
      </c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J58" s="544"/>
      <c r="K58" s="544"/>
      <c r="L58" s="544"/>
      <c r="M58" s="544"/>
      <c r="N58" s="544"/>
      <c r="O58" s="544"/>
      <c r="P58" s="544"/>
      <c r="Q58" s="544"/>
      <c r="R58" s="544"/>
      <c r="S58" s="544">
        <v>71</v>
      </c>
      <c r="T58" s="544">
        <v>100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J59" s="544"/>
      <c r="K59" s="544"/>
      <c r="L59" s="544"/>
      <c r="M59" s="544"/>
      <c r="N59" s="544"/>
      <c r="O59" s="544"/>
      <c r="P59" s="544"/>
      <c r="Q59" s="544"/>
      <c r="R59" s="544"/>
      <c r="S59" s="544">
        <v>72</v>
      </c>
      <c r="T59" s="544">
        <v>100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J60" s="544"/>
      <c r="K60" s="544"/>
      <c r="L60" s="544"/>
      <c r="M60" s="544"/>
      <c r="N60" s="544"/>
      <c r="O60" s="544"/>
      <c r="P60" s="544"/>
      <c r="Q60" s="544"/>
      <c r="R60" s="544"/>
      <c r="S60" s="544">
        <v>73</v>
      </c>
      <c r="T60" s="544">
        <v>100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J61" s="544"/>
      <c r="K61" s="544"/>
      <c r="L61" s="544"/>
      <c r="M61" s="544"/>
      <c r="N61" s="544"/>
      <c r="O61" s="544"/>
      <c r="P61" s="544"/>
      <c r="Q61" s="544"/>
      <c r="R61" s="544"/>
      <c r="S61" s="544">
        <v>74</v>
      </c>
      <c r="T61" s="544">
        <v>100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J62" s="544"/>
      <c r="K62" s="544"/>
      <c r="L62" s="544"/>
      <c r="M62" s="544"/>
      <c r="N62" s="544"/>
      <c r="O62" s="544"/>
      <c r="P62" s="544"/>
      <c r="Q62" s="544"/>
      <c r="R62" s="544"/>
      <c r="S62" s="544">
        <v>75</v>
      </c>
      <c r="T62" s="544">
        <v>100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J63" s="544"/>
      <c r="K63" s="544"/>
      <c r="L63" s="544"/>
      <c r="M63" s="544"/>
      <c r="N63" s="544"/>
      <c r="O63" s="544"/>
      <c r="P63" s="544"/>
      <c r="Q63" s="544"/>
      <c r="R63" s="544"/>
      <c r="S63" s="544">
        <v>76</v>
      </c>
      <c r="T63" s="544">
        <v>100</v>
      </c>
      <c r="U63" s="544"/>
      <c r="V63" s="544"/>
      <c r="W63" s="544"/>
      <c r="X63" s="544"/>
      <c r="Y63" s="185"/>
    </row>
    <row r="64" spans="2:25" x14ac:dyDescent="0.35">
      <c r="H64" s="46"/>
      <c r="I64" s="46"/>
      <c r="J64" s="544"/>
      <c r="K64" s="544"/>
      <c r="L64" s="544"/>
      <c r="M64" s="544"/>
      <c r="N64" s="544"/>
      <c r="O64" s="544"/>
      <c r="P64" s="544"/>
      <c r="Q64" s="544"/>
      <c r="R64" s="544"/>
      <c r="S64" s="544">
        <v>77</v>
      </c>
      <c r="T64" s="544">
        <v>100</v>
      </c>
      <c r="U64" s="544"/>
      <c r="V64" s="544"/>
      <c r="W64" s="544"/>
      <c r="X64" s="544"/>
      <c r="Y64" s="185"/>
    </row>
    <row r="65" spans="10:25" x14ac:dyDescent="0.35">
      <c r="J65" s="544"/>
      <c r="K65" s="544"/>
      <c r="L65" s="544"/>
      <c r="M65" s="544"/>
      <c r="N65" s="544"/>
      <c r="O65" s="544"/>
      <c r="P65" s="544"/>
      <c r="Q65" s="544"/>
      <c r="R65" s="544"/>
      <c r="S65" s="544">
        <v>78</v>
      </c>
      <c r="T65" s="544">
        <v>100</v>
      </c>
      <c r="U65" s="544"/>
      <c r="V65" s="544"/>
      <c r="W65" s="544"/>
      <c r="X65" s="544"/>
      <c r="Y65" s="185"/>
    </row>
    <row r="66" spans="10:25" x14ac:dyDescent="0.35">
      <c r="J66" s="544"/>
      <c r="K66" s="544"/>
      <c r="L66" s="544"/>
      <c r="M66" s="544"/>
      <c r="N66" s="544"/>
      <c r="O66" s="544"/>
      <c r="P66" s="544"/>
      <c r="Q66" s="544"/>
      <c r="R66" s="544"/>
      <c r="S66" s="544">
        <v>79</v>
      </c>
      <c r="T66" s="544">
        <v>100</v>
      </c>
      <c r="U66" s="544"/>
      <c r="V66" s="544"/>
      <c r="W66" s="544"/>
      <c r="X66" s="544"/>
      <c r="Y66" s="185"/>
    </row>
    <row r="67" spans="10:25" x14ac:dyDescent="0.35">
      <c r="J67" s="544"/>
      <c r="K67" s="544"/>
      <c r="L67" s="544"/>
      <c r="M67" s="544"/>
      <c r="N67" s="544"/>
      <c r="O67" s="544"/>
      <c r="P67" s="544"/>
      <c r="Q67" s="544"/>
      <c r="R67" s="544"/>
      <c r="S67" s="544">
        <v>80</v>
      </c>
      <c r="T67" s="544">
        <v>100</v>
      </c>
      <c r="U67" s="544"/>
      <c r="V67" s="544"/>
      <c r="W67" s="544"/>
      <c r="X67" s="544"/>
      <c r="Y67" s="185"/>
    </row>
    <row r="68" spans="10:25" x14ac:dyDescent="0.35">
      <c r="J68" s="544"/>
      <c r="K68" s="544"/>
      <c r="L68" s="544"/>
      <c r="M68" s="544"/>
      <c r="N68" s="544"/>
      <c r="O68" s="544"/>
      <c r="P68" s="544"/>
      <c r="Q68" s="544"/>
      <c r="R68" s="544"/>
      <c r="S68" s="544">
        <v>81</v>
      </c>
      <c r="T68" s="544">
        <v>100</v>
      </c>
      <c r="U68" s="544"/>
      <c r="V68" s="544"/>
      <c r="W68" s="544"/>
      <c r="X68" s="544"/>
      <c r="Y68" s="185"/>
    </row>
    <row r="69" spans="10:25" x14ac:dyDescent="0.35">
      <c r="J69" s="544"/>
      <c r="K69" s="544"/>
      <c r="L69" s="544"/>
      <c r="M69" s="544"/>
      <c r="N69" s="544"/>
      <c r="O69" s="544"/>
      <c r="P69" s="544"/>
      <c r="Q69" s="544"/>
      <c r="R69" s="544"/>
      <c r="S69" s="544">
        <v>82</v>
      </c>
      <c r="T69" s="544">
        <v>100</v>
      </c>
      <c r="U69" s="544"/>
      <c r="V69" s="544"/>
      <c r="W69" s="544"/>
      <c r="X69" s="544"/>
      <c r="Y69" s="185"/>
    </row>
    <row r="70" spans="10:25" x14ac:dyDescent="0.35">
      <c r="J70" s="544"/>
      <c r="K70" s="544"/>
      <c r="L70" s="544"/>
      <c r="M70" s="544"/>
      <c r="N70" s="544"/>
      <c r="O70" s="544"/>
      <c r="P70" s="544"/>
      <c r="Q70" s="544"/>
      <c r="R70" s="544"/>
      <c r="S70" s="544">
        <v>83</v>
      </c>
      <c r="T70" s="544">
        <v>100</v>
      </c>
      <c r="U70" s="544"/>
      <c r="V70" s="544"/>
      <c r="W70" s="544"/>
      <c r="X70" s="544"/>
      <c r="Y70" s="185"/>
    </row>
    <row r="71" spans="10:25" x14ac:dyDescent="0.35">
      <c r="J71" s="544"/>
      <c r="K71" s="544"/>
      <c r="L71" s="544"/>
      <c r="M71" s="544"/>
      <c r="N71" s="544"/>
      <c r="O71" s="544"/>
      <c r="P71" s="544"/>
      <c r="Q71" s="544"/>
      <c r="R71" s="544"/>
      <c r="S71" s="544">
        <v>84</v>
      </c>
      <c r="T71" s="544">
        <v>100</v>
      </c>
      <c r="U71" s="544"/>
      <c r="V71" s="544"/>
      <c r="W71" s="544"/>
      <c r="X71" s="544"/>
      <c r="Y71" s="185"/>
    </row>
    <row r="72" spans="10:25" x14ac:dyDescent="0.35">
      <c r="J72" s="544"/>
      <c r="K72" s="544"/>
      <c r="L72" s="544"/>
      <c r="M72" s="544"/>
      <c r="N72" s="544"/>
      <c r="O72" s="544"/>
      <c r="P72" s="544"/>
      <c r="Q72" s="544"/>
      <c r="R72" s="544"/>
      <c r="S72" s="544">
        <v>85</v>
      </c>
      <c r="T72" s="544">
        <v>100</v>
      </c>
      <c r="U72" s="544"/>
      <c r="V72" s="544"/>
      <c r="W72" s="544"/>
      <c r="X72" s="544"/>
      <c r="Y72" s="185"/>
    </row>
    <row r="73" spans="10:25" x14ac:dyDescent="0.35">
      <c r="J73" s="544"/>
      <c r="K73" s="544"/>
      <c r="L73" s="544"/>
      <c r="M73" s="544"/>
      <c r="N73" s="544"/>
      <c r="O73" s="544"/>
      <c r="P73" s="544"/>
      <c r="Q73" s="544"/>
      <c r="R73" s="544"/>
      <c r="S73" s="544">
        <v>86</v>
      </c>
      <c r="T73" s="544">
        <v>100</v>
      </c>
      <c r="U73" s="544"/>
      <c r="V73" s="544"/>
      <c r="W73" s="544"/>
      <c r="X73" s="544"/>
      <c r="Y73" s="185"/>
    </row>
    <row r="74" spans="10:25" x14ac:dyDescent="0.35">
      <c r="J74" s="544"/>
      <c r="K74" s="544"/>
      <c r="L74" s="544"/>
      <c r="M74" s="544"/>
      <c r="N74" s="544"/>
      <c r="O74" s="544"/>
      <c r="P74" s="544"/>
      <c r="Q74" s="544"/>
      <c r="R74" s="544"/>
      <c r="S74" s="544">
        <v>87</v>
      </c>
      <c r="T74" s="544">
        <v>100</v>
      </c>
      <c r="U74" s="544"/>
      <c r="V74" s="544"/>
      <c r="W74" s="544"/>
      <c r="X74" s="544"/>
      <c r="Y74" s="185"/>
    </row>
    <row r="75" spans="10:25" x14ac:dyDescent="0.35">
      <c r="J75" s="544"/>
      <c r="K75" s="544"/>
      <c r="L75" s="544"/>
      <c r="M75" s="544"/>
      <c r="N75" s="544"/>
      <c r="O75" s="544"/>
      <c r="P75" s="544"/>
      <c r="Q75" s="544"/>
      <c r="R75" s="544"/>
      <c r="S75" s="544">
        <v>88</v>
      </c>
      <c r="T75" s="544">
        <v>100</v>
      </c>
      <c r="U75" s="544"/>
      <c r="V75" s="544"/>
      <c r="W75" s="544"/>
      <c r="X75" s="544"/>
      <c r="Y75" s="185"/>
    </row>
    <row r="76" spans="10:25" x14ac:dyDescent="0.35">
      <c r="J76" s="544"/>
      <c r="K76" s="544"/>
      <c r="L76" s="544"/>
      <c r="M76" s="544"/>
      <c r="N76" s="544"/>
      <c r="O76" s="544"/>
      <c r="P76" s="544"/>
      <c r="Q76" s="544"/>
      <c r="R76" s="544"/>
      <c r="S76" s="544">
        <v>89</v>
      </c>
      <c r="T76" s="544">
        <v>100</v>
      </c>
      <c r="U76" s="544"/>
      <c r="V76" s="544"/>
      <c r="W76" s="544"/>
      <c r="X76" s="544"/>
      <c r="Y76" s="185"/>
    </row>
    <row r="77" spans="10:25" x14ac:dyDescent="0.35">
      <c r="J77" s="544"/>
      <c r="K77" s="544"/>
      <c r="L77" s="544"/>
      <c r="M77" s="544"/>
      <c r="N77" s="544"/>
      <c r="O77" s="544"/>
      <c r="P77" s="544"/>
      <c r="Q77" s="544"/>
      <c r="R77" s="544"/>
      <c r="S77" s="544">
        <v>90</v>
      </c>
      <c r="T77" s="544">
        <v>100</v>
      </c>
      <c r="U77" s="544"/>
      <c r="V77" s="544"/>
      <c r="W77" s="544"/>
      <c r="X77" s="544"/>
      <c r="Y77" s="185"/>
    </row>
    <row r="78" spans="10:25" x14ac:dyDescent="0.35">
      <c r="J78" s="544"/>
      <c r="K78" s="544"/>
      <c r="L78" s="544"/>
      <c r="M78" s="544"/>
      <c r="N78" s="544"/>
      <c r="O78" s="544"/>
      <c r="P78" s="544"/>
      <c r="Q78" s="544"/>
      <c r="R78" s="544"/>
      <c r="S78" s="544">
        <v>91</v>
      </c>
      <c r="T78" s="544">
        <v>100</v>
      </c>
      <c r="U78" s="544"/>
      <c r="V78" s="544"/>
      <c r="W78" s="544"/>
      <c r="X78" s="544"/>
      <c r="Y78" s="185"/>
    </row>
    <row r="79" spans="10:25" x14ac:dyDescent="0.35">
      <c r="J79" s="544"/>
      <c r="K79" s="544"/>
      <c r="L79" s="544"/>
      <c r="M79" s="544"/>
      <c r="N79" s="544"/>
      <c r="O79" s="544"/>
      <c r="P79" s="544"/>
      <c r="Q79" s="544"/>
      <c r="R79" s="544"/>
      <c r="S79" s="544">
        <v>92</v>
      </c>
      <c r="T79" s="544">
        <v>100</v>
      </c>
      <c r="U79" s="544"/>
      <c r="V79" s="544"/>
      <c r="W79" s="544"/>
      <c r="X79" s="544"/>
      <c r="Y79" s="185"/>
    </row>
    <row r="80" spans="10:25" x14ac:dyDescent="0.35">
      <c r="J80" s="544"/>
      <c r="K80" s="544"/>
      <c r="L80" s="544"/>
      <c r="M80" s="544"/>
      <c r="N80" s="544"/>
      <c r="O80" s="544"/>
      <c r="P80" s="544"/>
      <c r="Q80" s="544"/>
      <c r="R80" s="544"/>
      <c r="S80" s="544">
        <v>93</v>
      </c>
      <c r="T80" s="544">
        <v>100</v>
      </c>
      <c r="U80" s="544"/>
      <c r="V80" s="544"/>
      <c r="W80" s="544"/>
      <c r="X80" s="544"/>
      <c r="Y80" s="185"/>
    </row>
    <row r="81" spans="10:25" x14ac:dyDescent="0.35">
      <c r="J81" s="544"/>
      <c r="K81" s="544"/>
      <c r="L81" s="544"/>
      <c r="M81" s="544"/>
      <c r="N81" s="544"/>
      <c r="O81" s="544"/>
      <c r="P81" s="544"/>
      <c r="Q81" s="544"/>
      <c r="R81" s="544"/>
      <c r="S81" s="544">
        <v>94</v>
      </c>
      <c r="T81" s="544">
        <v>100</v>
      </c>
      <c r="U81" s="544"/>
      <c r="V81" s="544"/>
      <c r="W81" s="544"/>
      <c r="X81" s="544"/>
      <c r="Y81" s="185"/>
    </row>
    <row r="82" spans="10:25" x14ac:dyDescent="0.35">
      <c r="J82" s="544"/>
      <c r="K82" s="544"/>
      <c r="L82" s="544"/>
      <c r="M82" s="544"/>
      <c r="N82" s="544"/>
      <c r="O82" s="544"/>
      <c r="P82" s="544"/>
      <c r="Q82" s="544"/>
      <c r="R82" s="544"/>
      <c r="S82" s="544">
        <v>95</v>
      </c>
      <c r="T82" s="544">
        <v>100</v>
      </c>
      <c r="U82" s="544"/>
      <c r="V82" s="544"/>
      <c r="W82" s="544"/>
      <c r="X82" s="544"/>
      <c r="Y82" s="185"/>
    </row>
    <row r="83" spans="10:25" x14ac:dyDescent="0.35">
      <c r="J83" s="544"/>
      <c r="K83" s="544"/>
      <c r="L83" s="544"/>
      <c r="M83" s="544"/>
      <c r="N83" s="544"/>
      <c r="O83" s="544"/>
      <c r="P83" s="544"/>
      <c r="Q83" s="544"/>
      <c r="R83" s="544"/>
      <c r="S83" s="544">
        <v>96</v>
      </c>
      <c r="T83" s="544">
        <v>100</v>
      </c>
      <c r="U83" s="544"/>
      <c r="V83" s="544"/>
      <c r="W83" s="544"/>
      <c r="X83" s="544"/>
      <c r="Y83" s="185"/>
    </row>
    <row r="84" spans="10:25" x14ac:dyDescent="0.35">
      <c r="J84" s="544"/>
      <c r="K84" s="544"/>
      <c r="L84" s="544"/>
      <c r="M84" s="544"/>
      <c r="N84" s="544"/>
      <c r="O84" s="544"/>
      <c r="P84" s="544"/>
      <c r="Q84" s="544"/>
      <c r="R84" s="544"/>
      <c r="S84" s="544">
        <v>97</v>
      </c>
      <c r="T84" s="544">
        <v>100</v>
      </c>
      <c r="U84" s="544"/>
      <c r="V84" s="544"/>
      <c r="W84" s="544"/>
      <c r="X84" s="544"/>
      <c r="Y84" s="185"/>
    </row>
    <row r="85" spans="10:25" x14ac:dyDescent="0.35">
      <c r="J85" s="544"/>
      <c r="K85" s="544"/>
      <c r="L85" s="544"/>
      <c r="M85" s="544"/>
      <c r="N85" s="544"/>
      <c r="O85" s="544"/>
      <c r="P85" s="544"/>
      <c r="Q85" s="544"/>
      <c r="R85" s="544"/>
      <c r="S85" s="544">
        <v>98</v>
      </c>
      <c r="T85" s="544">
        <v>100</v>
      </c>
      <c r="U85" s="544"/>
      <c r="V85" s="544"/>
      <c r="W85" s="544"/>
      <c r="X85" s="544"/>
      <c r="Y85" s="185"/>
    </row>
    <row r="86" spans="10:25" x14ac:dyDescent="0.35">
      <c r="J86" s="544"/>
      <c r="K86" s="544"/>
      <c r="L86" s="544"/>
      <c r="M86" s="544"/>
      <c r="N86" s="544"/>
      <c r="O86" s="544"/>
      <c r="P86" s="544"/>
      <c r="Q86" s="544"/>
      <c r="R86" s="544"/>
      <c r="S86" s="544">
        <v>99</v>
      </c>
      <c r="T86" s="544">
        <v>100</v>
      </c>
      <c r="U86" s="544"/>
      <c r="V86" s="544"/>
      <c r="W86" s="544"/>
      <c r="X86" s="544"/>
      <c r="Y86" s="185"/>
    </row>
    <row r="87" spans="10:25" x14ac:dyDescent="0.35">
      <c r="J87" s="544"/>
      <c r="K87" s="544"/>
      <c r="L87" s="544"/>
      <c r="M87" s="544"/>
      <c r="N87" s="544"/>
      <c r="O87" s="544"/>
      <c r="P87" s="544"/>
      <c r="Q87" s="544"/>
      <c r="R87" s="544"/>
      <c r="S87" s="544">
        <v>100</v>
      </c>
      <c r="T87" s="544">
        <v>100</v>
      </c>
      <c r="U87" s="544">
        <v>100</v>
      </c>
      <c r="V87" s="544"/>
      <c r="W87" s="544"/>
      <c r="X87" s="544"/>
      <c r="Y87" s="185"/>
    </row>
    <row r="88" spans="10:25" x14ac:dyDescent="0.35">
      <c r="J88" s="544"/>
      <c r="K88" s="544"/>
      <c r="L88" s="544"/>
      <c r="M88" s="544"/>
      <c r="N88" s="544"/>
      <c r="O88" s="544"/>
      <c r="P88" s="544"/>
      <c r="Q88" s="544"/>
      <c r="R88" s="544"/>
      <c r="S88" s="544">
        <v>101</v>
      </c>
      <c r="T88" s="544">
        <v>150</v>
      </c>
      <c r="U88" s="544"/>
      <c r="V88" s="544"/>
      <c r="W88" s="544"/>
      <c r="X88" s="544"/>
      <c r="Y88" s="185"/>
    </row>
    <row r="89" spans="10:25" x14ac:dyDescent="0.35">
      <c r="J89" s="544"/>
      <c r="K89" s="544"/>
      <c r="L89" s="544"/>
      <c r="M89" s="544"/>
      <c r="N89" s="544"/>
      <c r="O89" s="544"/>
      <c r="P89" s="544"/>
      <c r="Q89" s="544"/>
      <c r="R89" s="544"/>
      <c r="S89" s="544">
        <v>102</v>
      </c>
      <c r="T89" s="544">
        <v>150</v>
      </c>
      <c r="U89" s="544"/>
      <c r="V89" s="544"/>
      <c r="W89" s="544"/>
      <c r="X89" s="544"/>
      <c r="Y89" s="185"/>
    </row>
    <row r="90" spans="10:25" x14ac:dyDescent="0.35">
      <c r="J90" s="544"/>
      <c r="K90" s="544"/>
      <c r="L90" s="544"/>
      <c r="M90" s="544"/>
      <c r="N90" s="544"/>
      <c r="O90" s="544"/>
      <c r="P90" s="544"/>
      <c r="Q90" s="544"/>
      <c r="R90" s="544"/>
      <c r="S90" s="544">
        <v>103</v>
      </c>
      <c r="T90" s="544">
        <v>150</v>
      </c>
      <c r="U90" s="544"/>
      <c r="V90" s="544"/>
      <c r="W90" s="544"/>
      <c r="X90" s="544"/>
      <c r="Y90" s="185"/>
    </row>
    <row r="91" spans="10:25" x14ac:dyDescent="0.35">
      <c r="J91" s="544"/>
      <c r="K91" s="544"/>
      <c r="L91" s="544"/>
      <c r="M91" s="544"/>
      <c r="N91" s="544"/>
      <c r="O91" s="544"/>
      <c r="P91" s="544"/>
      <c r="Q91" s="544"/>
      <c r="R91" s="544"/>
      <c r="S91" s="544">
        <v>104</v>
      </c>
      <c r="T91" s="544">
        <v>150</v>
      </c>
      <c r="U91" s="544"/>
      <c r="V91" s="544"/>
      <c r="W91" s="544"/>
      <c r="X91" s="544"/>
      <c r="Y91" s="185"/>
    </row>
    <row r="92" spans="10:25" x14ac:dyDescent="0.35">
      <c r="J92" s="544"/>
      <c r="K92" s="544"/>
      <c r="L92" s="544"/>
      <c r="M92" s="544"/>
      <c r="N92" s="544"/>
      <c r="O92" s="544"/>
      <c r="P92" s="544"/>
      <c r="Q92" s="544"/>
      <c r="R92" s="544"/>
      <c r="S92" s="544">
        <v>105</v>
      </c>
      <c r="T92" s="544">
        <v>150</v>
      </c>
      <c r="U92" s="544"/>
      <c r="V92" s="544"/>
      <c r="W92" s="544"/>
      <c r="X92" s="544"/>
      <c r="Y92" s="185"/>
    </row>
    <row r="93" spans="10:25" x14ac:dyDescent="0.35">
      <c r="J93" s="544"/>
      <c r="K93" s="544"/>
      <c r="L93" s="544"/>
      <c r="M93" s="544"/>
      <c r="N93" s="544"/>
      <c r="O93" s="544"/>
      <c r="P93" s="544"/>
      <c r="Q93" s="544"/>
      <c r="R93" s="544"/>
      <c r="S93" s="544">
        <v>106</v>
      </c>
      <c r="T93" s="544">
        <v>150</v>
      </c>
      <c r="U93" s="544"/>
      <c r="V93" s="544"/>
      <c r="W93" s="544"/>
      <c r="X93" s="544"/>
      <c r="Y93" s="185"/>
    </row>
    <row r="94" spans="10:25" x14ac:dyDescent="0.35">
      <c r="J94" s="544"/>
      <c r="K94" s="544"/>
      <c r="L94" s="544"/>
      <c r="M94" s="544"/>
      <c r="N94" s="544"/>
      <c r="O94" s="544"/>
      <c r="P94" s="544"/>
      <c r="Q94" s="544"/>
      <c r="R94" s="544"/>
      <c r="S94" s="544">
        <v>107</v>
      </c>
      <c r="T94" s="544">
        <v>150</v>
      </c>
      <c r="U94" s="544"/>
      <c r="V94" s="544"/>
      <c r="W94" s="544"/>
      <c r="X94" s="544"/>
      <c r="Y94" s="185"/>
    </row>
    <row r="95" spans="10:25" x14ac:dyDescent="0.35">
      <c r="J95" s="544"/>
      <c r="K95" s="544"/>
      <c r="L95" s="544"/>
      <c r="M95" s="544"/>
      <c r="N95" s="544"/>
      <c r="O95" s="544"/>
      <c r="P95" s="544"/>
      <c r="Q95" s="544"/>
      <c r="R95" s="544"/>
      <c r="S95" s="544">
        <v>108</v>
      </c>
      <c r="T95" s="544">
        <v>150</v>
      </c>
      <c r="U95" s="544"/>
      <c r="V95" s="544"/>
      <c r="W95" s="544"/>
      <c r="X95" s="544"/>
      <c r="Y95" s="185"/>
    </row>
    <row r="96" spans="10:25" x14ac:dyDescent="0.35">
      <c r="J96" s="544"/>
      <c r="K96" s="544"/>
      <c r="L96" s="544"/>
      <c r="M96" s="544"/>
      <c r="N96" s="544"/>
      <c r="O96" s="544"/>
      <c r="P96" s="544"/>
      <c r="Q96" s="544"/>
      <c r="R96" s="544"/>
      <c r="S96" s="544">
        <v>109</v>
      </c>
      <c r="T96" s="544">
        <v>150</v>
      </c>
      <c r="U96" s="544"/>
      <c r="V96" s="544"/>
      <c r="W96" s="544"/>
      <c r="X96" s="544"/>
      <c r="Y96" s="185"/>
    </row>
    <row r="97" spans="10:25" x14ac:dyDescent="0.35">
      <c r="J97" s="544"/>
      <c r="K97" s="544"/>
      <c r="L97" s="544"/>
      <c r="M97" s="544"/>
      <c r="N97" s="544"/>
      <c r="O97" s="544"/>
      <c r="P97" s="544"/>
      <c r="Q97" s="544"/>
      <c r="R97" s="544"/>
      <c r="S97" s="544">
        <v>110</v>
      </c>
      <c r="T97" s="544">
        <v>150</v>
      </c>
      <c r="U97" s="544"/>
      <c r="V97" s="544"/>
      <c r="W97" s="544"/>
      <c r="X97" s="544"/>
      <c r="Y97" s="185"/>
    </row>
    <row r="98" spans="10:25" x14ac:dyDescent="0.35">
      <c r="J98" s="544"/>
      <c r="K98" s="544"/>
      <c r="L98" s="544"/>
      <c r="M98" s="544"/>
      <c r="N98" s="544"/>
      <c r="O98" s="544"/>
      <c r="P98" s="544"/>
      <c r="Q98" s="544"/>
      <c r="R98" s="544"/>
      <c r="S98" s="544">
        <v>111</v>
      </c>
      <c r="T98" s="544">
        <v>150</v>
      </c>
      <c r="U98" s="544"/>
      <c r="V98" s="544"/>
      <c r="W98" s="544"/>
      <c r="X98" s="544"/>
      <c r="Y98" s="185"/>
    </row>
    <row r="99" spans="10:25" x14ac:dyDescent="0.35">
      <c r="J99" s="544"/>
      <c r="K99" s="544"/>
      <c r="L99" s="544"/>
      <c r="M99" s="544"/>
      <c r="N99" s="544"/>
      <c r="O99" s="544"/>
      <c r="P99" s="544"/>
      <c r="Q99" s="544"/>
      <c r="R99" s="544"/>
      <c r="S99" s="544">
        <v>112</v>
      </c>
      <c r="T99" s="544">
        <v>150</v>
      </c>
      <c r="U99" s="544"/>
      <c r="V99" s="544"/>
      <c r="W99" s="544"/>
      <c r="X99" s="544"/>
      <c r="Y99" s="185"/>
    </row>
    <row r="100" spans="10:25" x14ac:dyDescent="0.35">
      <c r="J100" s="544"/>
      <c r="K100" s="544"/>
      <c r="L100" s="544"/>
      <c r="M100" s="544"/>
      <c r="N100" s="544"/>
      <c r="O100" s="544"/>
      <c r="P100" s="544"/>
      <c r="Q100" s="544"/>
      <c r="R100" s="544"/>
      <c r="S100" s="544">
        <v>113</v>
      </c>
      <c r="T100" s="544">
        <v>150</v>
      </c>
      <c r="U100" s="544"/>
      <c r="V100" s="544"/>
      <c r="W100" s="544"/>
      <c r="X100" s="544"/>
      <c r="Y100" s="185"/>
    </row>
    <row r="101" spans="10:25" x14ac:dyDescent="0.35">
      <c r="J101" s="544"/>
      <c r="K101" s="544"/>
      <c r="L101" s="544"/>
      <c r="M101" s="544"/>
      <c r="N101" s="544"/>
      <c r="O101" s="544"/>
      <c r="P101" s="544"/>
      <c r="Q101" s="544"/>
      <c r="R101" s="544"/>
      <c r="S101" s="544">
        <v>114</v>
      </c>
      <c r="T101" s="544">
        <v>150</v>
      </c>
      <c r="U101" s="544"/>
      <c r="V101" s="544"/>
      <c r="W101" s="544"/>
      <c r="X101" s="544"/>
      <c r="Y101" s="185"/>
    </row>
    <row r="102" spans="10:25" x14ac:dyDescent="0.35">
      <c r="J102" s="544"/>
      <c r="K102" s="544"/>
      <c r="L102" s="544"/>
      <c r="M102" s="544"/>
      <c r="N102" s="544"/>
      <c r="O102" s="544"/>
      <c r="P102" s="544"/>
      <c r="Q102" s="544"/>
      <c r="R102" s="544"/>
      <c r="S102" s="544">
        <v>115</v>
      </c>
      <c r="T102" s="544">
        <v>150</v>
      </c>
      <c r="U102" s="544"/>
      <c r="V102" s="544"/>
      <c r="W102" s="544"/>
      <c r="X102" s="544"/>
      <c r="Y102" s="185"/>
    </row>
    <row r="103" spans="10:25" x14ac:dyDescent="0.35">
      <c r="J103" s="544"/>
      <c r="K103" s="544"/>
      <c r="L103" s="544"/>
      <c r="M103" s="544"/>
      <c r="N103" s="544"/>
      <c r="O103" s="544"/>
      <c r="P103" s="544"/>
      <c r="Q103" s="544"/>
      <c r="R103" s="544"/>
      <c r="S103" s="544">
        <v>116</v>
      </c>
      <c r="T103" s="544">
        <v>150</v>
      </c>
      <c r="U103" s="544"/>
      <c r="V103" s="544"/>
      <c r="W103" s="544"/>
      <c r="X103" s="544"/>
      <c r="Y103" s="185"/>
    </row>
    <row r="104" spans="10:25" x14ac:dyDescent="0.35">
      <c r="J104" s="544"/>
      <c r="K104" s="544"/>
      <c r="L104" s="544"/>
      <c r="M104" s="544"/>
      <c r="N104" s="544"/>
      <c r="O104" s="544"/>
      <c r="P104" s="544"/>
      <c r="Q104" s="544"/>
      <c r="R104" s="544"/>
      <c r="S104" s="544">
        <v>117</v>
      </c>
      <c r="T104" s="544">
        <v>150</v>
      </c>
      <c r="U104" s="544"/>
      <c r="V104" s="544"/>
      <c r="W104" s="544"/>
      <c r="X104" s="544"/>
      <c r="Y104" s="185"/>
    </row>
    <row r="105" spans="10:25" x14ac:dyDescent="0.35">
      <c r="J105" s="544"/>
      <c r="K105" s="544"/>
      <c r="L105" s="544"/>
      <c r="M105" s="544"/>
      <c r="N105" s="544"/>
      <c r="O105" s="544"/>
      <c r="P105" s="544"/>
      <c r="Q105" s="544"/>
      <c r="R105" s="544"/>
      <c r="S105" s="544">
        <v>118</v>
      </c>
      <c r="T105" s="544">
        <v>150</v>
      </c>
      <c r="U105" s="544"/>
      <c r="V105" s="544"/>
      <c r="W105" s="544"/>
      <c r="X105" s="544"/>
      <c r="Y105" s="185"/>
    </row>
    <row r="106" spans="10:25" x14ac:dyDescent="0.35">
      <c r="J106" s="544"/>
      <c r="K106" s="544"/>
      <c r="L106" s="544"/>
      <c r="M106" s="544"/>
      <c r="N106" s="544"/>
      <c r="O106" s="544"/>
      <c r="P106" s="544"/>
      <c r="Q106" s="544"/>
      <c r="R106" s="544"/>
      <c r="S106" s="544">
        <v>119</v>
      </c>
      <c r="T106" s="544">
        <v>150</v>
      </c>
      <c r="U106" s="544"/>
      <c r="V106" s="544"/>
      <c r="W106" s="544"/>
      <c r="X106" s="544"/>
      <c r="Y106" s="185"/>
    </row>
    <row r="107" spans="10:25" x14ac:dyDescent="0.35">
      <c r="J107" s="544"/>
      <c r="K107" s="544"/>
      <c r="L107" s="544"/>
      <c r="M107" s="544"/>
      <c r="N107" s="544"/>
      <c r="O107" s="544"/>
      <c r="P107" s="544"/>
      <c r="Q107" s="544"/>
      <c r="R107" s="544"/>
      <c r="S107" s="544">
        <v>120</v>
      </c>
      <c r="T107" s="544">
        <v>150</v>
      </c>
      <c r="U107" s="544"/>
      <c r="V107" s="544"/>
      <c r="W107" s="544"/>
      <c r="X107" s="544"/>
      <c r="Y107" s="185"/>
    </row>
    <row r="108" spans="10:25" x14ac:dyDescent="0.35">
      <c r="J108" s="544"/>
      <c r="K108" s="544"/>
      <c r="L108" s="544"/>
      <c r="M108" s="544"/>
      <c r="N108" s="544"/>
      <c r="O108" s="544"/>
      <c r="P108" s="544"/>
      <c r="Q108" s="544"/>
      <c r="R108" s="544"/>
      <c r="S108" s="544">
        <v>121</v>
      </c>
      <c r="T108" s="544">
        <v>150</v>
      </c>
      <c r="U108" s="544"/>
      <c r="V108" s="544"/>
      <c r="W108" s="544"/>
      <c r="X108" s="544"/>
      <c r="Y108" s="185"/>
    </row>
    <row r="109" spans="10:25" x14ac:dyDescent="0.35">
      <c r="J109" s="544"/>
      <c r="K109" s="544"/>
      <c r="L109" s="544"/>
      <c r="M109" s="544"/>
      <c r="N109" s="544"/>
      <c r="O109" s="544"/>
      <c r="P109" s="544"/>
      <c r="Q109" s="544"/>
      <c r="R109" s="544"/>
      <c r="S109" s="544">
        <v>122</v>
      </c>
      <c r="T109" s="544">
        <v>150</v>
      </c>
      <c r="U109" s="544"/>
      <c r="V109" s="544"/>
      <c r="W109" s="544"/>
      <c r="X109" s="544"/>
      <c r="Y109" s="185"/>
    </row>
    <row r="110" spans="10:25" x14ac:dyDescent="0.35">
      <c r="J110" s="544"/>
      <c r="K110" s="544"/>
      <c r="L110" s="544"/>
      <c r="M110" s="544"/>
      <c r="N110" s="544"/>
      <c r="O110" s="544"/>
      <c r="P110" s="544"/>
      <c r="Q110" s="544"/>
      <c r="R110" s="544"/>
      <c r="S110" s="544">
        <v>123</v>
      </c>
      <c r="T110" s="544">
        <v>150</v>
      </c>
      <c r="U110" s="544"/>
      <c r="V110" s="544"/>
      <c r="W110" s="544"/>
      <c r="X110" s="544"/>
      <c r="Y110" s="185"/>
    </row>
    <row r="111" spans="10:25" x14ac:dyDescent="0.35">
      <c r="J111" s="544"/>
      <c r="K111" s="544"/>
      <c r="L111" s="544"/>
      <c r="M111" s="544"/>
      <c r="N111" s="544"/>
      <c r="O111" s="544"/>
      <c r="P111" s="544"/>
      <c r="Q111" s="544"/>
      <c r="R111" s="544"/>
      <c r="S111" s="544">
        <v>124</v>
      </c>
      <c r="T111" s="544">
        <v>150</v>
      </c>
      <c r="U111" s="544"/>
      <c r="V111" s="544"/>
      <c r="W111" s="544"/>
      <c r="X111" s="544"/>
      <c r="Y111" s="185"/>
    </row>
    <row r="112" spans="10:25" x14ac:dyDescent="0.35">
      <c r="J112" s="544"/>
      <c r="K112" s="544"/>
      <c r="L112" s="544"/>
      <c r="M112" s="544"/>
      <c r="N112" s="544"/>
      <c r="O112" s="544"/>
      <c r="P112" s="544"/>
      <c r="Q112" s="544"/>
      <c r="R112" s="544"/>
      <c r="S112" s="544">
        <v>125</v>
      </c>
      <c r="T112" s="544">
        <v>150</v>
      </c>
      <c r="U112" s="544"/>
      <c r="V112" s="544"/>
      <c r="W112" s="544"/>
      <c r="X112" s="544"/>
      <c r="Y112" s="185"/>
    </row>
    <row r="113" spans="10:25" x14ac:dyDescent="0.35">
      <c r="J113" s="544"/>
      <c r="K113" s="544"/>
      <c r="L113" s="544"/>
      <c r="M113" s="544"/>
      <c r="N113" s="544"/>
      <c r="O113" s="544"/>
      <c r="P113" s="544"/>
      <c r="Q113" s="544"/>
      <c r="R113" s="544"/>
      <c r="S113" s="544">
        <v>126</v>
      </c>
      <c r="T113" s="544">
        <v>150</v>
      </c>
      <c r="U113" s="544"/>
      <c r="V113" s="544"/>
      <c r="W113" s="544"/>
      <c r="X113" s="544"/>
      <c r="Y113" s="185"/>
    </row>
    <row r="114" spans="10:25" x14ac:dyDescent="0.35">
      <c r="J114" s="544"/>
      <c r="K114" s="544"/>
      <c r="L114" s="544"/>
      <c r="M114" s="544"/>
      <c r="N114" s="544"/>
      <c r="O114" s="544"/>
      <c r="P114" s="544"/>
      <c r="Q114" s="544"/>
      <c r="R114" s="544"/>
      <c r="S114" s="544">
        <v>127</v>
      </c>
      <c r="T114" s="544">
        <v>150</v>
      </c>
      <c r="U114" s="544"/>
      <c r="V114" s="544"/>
      <c r="W114" s="544"/>
      <c r="X114" s="544"/>
      <c r="Y114" s="185"/>
    </row>
    <row r="115" spans="10:25" x14ac:dyDescent="0.35">
      <c r="J115" s="544"/>
      <c r="K115" s="544"/>
      <c r="L115" s="544"/>
      <c r="M115" s="544"/>
      <c r="N115" s="544"/>
      <c r="O115" s="544"/>
      <c r="P115" s="544"/>
      <c r="Q115" s="544"/>
      <c r="R115" s="544"/>
      <c r="S115" s="544">
        <v>128</v>
      </c>
      <c r="T115" s="544">
        <v>150</v>
      </c>
      <c r="U115" s="544"/>
      <c r="V115" s="544"/>
      <c r="W115" s="544"/>
      <c r="X115" s="544"/>
      <c r="Y115" s="185"/>
    </row>
    <row r="116" spans="10:25" x14ac:dyDescent="0.35">
      <c r="J116" s="544"/>
      <c r="K116" s="544"/>
      <c r="L116" s="544"/>
      <c r="M116" s="544"/>
      <c r="N116" s="544"/>
      <c r="O116" s="544"/>
      <c r="P116" s="544"/>
      <c r="Q116" s="544"/>
      <c r="R116" s="544"/>
      <c r="S116" s="544">
        <v>129</v>
      </c>
      <c r="T116" s="544">
        <v>150</v>
      </c>
      <c r="U116" s="544"/>
      <c r="V116" s="544"/>
      <c r="W116" s="544"/>
      <c r="X116" s="544"/>
      <c r="Y116" s="185"/>
    </row>
    <row r="117" spans="10:25" x14ac:dyDescent="0.35">
      <c r="J117" s="544"/>
      <c r="K117" s="544"/>
      <c r="L117" s="544"/>
      <c r="M117" s="544"/>
      <c r="N117" s="544"/>
      <c r="O117" s="544"/>
      <c r="P117" s="544"/>
      <c r="Q117" s="544"/>
      <c r="R117" s="544"/>
      <c r="S117" s="544">
        <v>130</v>
      </c>
      <c r="T117" s="544">
        <v>150</v>
      </c>
      <c r="U117" s="544"/>
      <c r="V117" s="544"/>
      <c r="W117" s="544"/>
      <c r="X117" s="544"/>
      <c r="Y117" s="185"/>
    </row>
    <row r="118" spans="10:25" x14ac:dyDescent="0.35">
      <c r="J118" s="544"/>
      <c r="K118" s="544"/>
      <c r="L118" s="544"/>
      <c r="M118" s="544"/>
      <c r="N118" s="544"/>
      <c r="O118" s="544"/>
      <c r="P118" s="544"/>
      <c r="Q118" s="544"/>
      <c r="R118" s="544"/>
      <c r="S118" s="544">
        <v>131</v>
      </c>
      <c r="T118" s="544">
        <v>150</v>
      </c>
      <c r="U118" s="544"/>
      <c r="V118" s="544"/>
      <c r="W118" s="544"/>
      <c r="X118" s="544"/>
      <c r="Y118" s="185"/>
    </row>
    <row r="119" spans="10:25" x14ac:dyDescent="0.35">
      <c r="J119" s="544"/>
      <c r="K119" s="544"/>
      <c r="L119" s="544"/>
      <c r="M119" s="544"/>
      <c r="N119" s="544"/>
      <c r="O119" s="544"/>
      <c r="P119" s="544"/>
      <c r="Q119" s="544"/>
      <c r="R119" s="544"/>
      <c r="S119" s="544">
        <v>132</v>
      </c>
      <c r="T119" s="544">
        <v>150</v>
      </c>
      <c r="U119" s="544"/>
      <c r="V119" s="544"/>
      <c r="W119" s="544"/>
      <c r="X119" s="544"/>
      <c r="Y119" s="185"/>
    </row>
    <row r="120" spans="10:25" x14ac:dyDescent="0.35">
      <c r="J120" s="544"/>
      <c r="K120" s="544"/>
      <c r="L120" s="544"/>
      <c r="M120" s="544"/>
      <c r="N120" s="544"/>
      <c r="O120" s="544"/>
      <c r="P120" s="544"/>
      <c r="Q120" s="544"/>
      <c r="R120" s="544"/>
      <c r="S120" s="544">
        <v>133</v>
      </c>
      <c r="T120" s="544">
        <v>150</v>
      </c>
      <c r="U120" s="544"/>
      <c r="V120" s="544"/>
      <c r="W120" s="544"/>
      <c r="X120" s="544"/>
      <c r="Y120" s="185"/>
    </row>
    <row r="121" spans="10:25" x14ac:dyDescent="0.35">
      <c r="J121" s="544"/>
      <c r="K121" s="544"/>
      <c r="L121" s="544"/>
      <c r="M121" s="544"/>
      <c r="N121" s="544"/>
      <c r="O121" s="544"/>
      <c r="P121" s="544"/>
      <c r="Q121" s="544"/>
      <c r="R121" s="544"/>
      <c r="S121" s="544">
        <v>134</v>
      </c>
      <c r="T121" s="544">
        <v>150</v>
      </c>
      <c r="U121" s="544"/>
      <c r="V121" s="544"/>
      <c r="W121" s="544"/>
      <c r="X121" s="544"/>
      <c r="Y121" s="185"/>
    </row>
    <row r="122" spans="10:25" x14ac:dyDescent="0.35">
      <c r="J122" s="544"/>
      <c r="K122" s="544"/>
      <c r="L122" s="544"/>
      <c r="M122" s="544"/>
      <c r="N122" s="544"/>
      <c r="O122" s="544"/>
      <c r="P122" s="544"/>
      <c r="Q122" s="544"/>
      <c r="R122" s="544"/>
      <c r="S122" s="544">
        <v>135</v>
      </c>
      <c r="T122" s="544">
        <v>150</v>
      </c>
      <c r="U122" s="544"/>
      <c r="V122" s="544"/>
      <c r="W122" s="544"/>
      <c r="X122" s="544"/>
      <c r="Y122" s="185"/>
    </row>
    <row r="123" spans="10:25" x14ac:dyDescent="0.35">
      <c r="J123" s="544"/>
      <c r="K123" s="544"/>
      <c r="L123" s="544"/>
      <c r="M123" s="544"/>
      <c r="N123" s="544"/>
      <c r="O123" s="544"/>
      <c r="P123" s="544"/>
      <c r="Q123" s="544"/>
      <c r="R123" s="544"/>
      <c r="S123" s="544">
        <v>136</v>
      </c>
      <c r="T123" s="544">
        <v>150</v>
      </c>
      <c r="U123" s="544"/>
      <c r="V123" s="544"/>
      <c r="W123" s="544"/>
      <c r="X123" s="544"/>
      <c r="Y123" s="185"/>
    </row>
    <row r="124" spans="10:25" x14ac:dyDescent="0.35">
      <c r="J124" s="544"/>
      <c r="K124" s="544"/>
      <c r="L124" s="544"/>
      <c r="M124" s="544"/>
      <c r="N124" s="544"/>
      <c r="O124" s="544"/>
      <c r="P124" s="544"/>
      <c r="Q124" s="544"/>
      <c r="R124" s="544"/>
      <c r="S124" s="544">
        <v>137</v>
      </c>
      <c r="T124" s="544">
        <v>150</v>
      </c>
      <c r="U124" s="544"/>
      <c r="V124" s="544"/>
      <c r="W124" s="544"/>
      <c r="X124" s="544"/>
      <c r="Y124" s="185"/>
    </row>
    <row r="125" spans="10:25" x14ac:dyDescent="0.35">
      <c r="J125" s="544"/>
      <c r="K125" s="544"/>
      <c r="L125" s="544"/>
      <c r="M125" s="544"/>
      <c r="N125" s="544"/>
      <c r="O125" s="544"/>
      <c r="P125" s="544"/>
      <c r="Q125" s="544"/>
      <c r="R125" s="544"/>
      <c r="S125" s="544">
        <v>138</v>
      </c>
      <c r="T125" s="544">
        <v>150</v>
      </c>
      <c r="U125" s="544"/>
      <c r="V125" s="544"/>
      <c r="W125" s="544"/>
      <c r="X125" s="544"/>
      <c r="Y125" s="185"/>
    </row>
    <row r="126" spans="10:25" x14ac:dyDescent="0.35">
      <c r="J126" s="544"/>
      <c r="K126" s="544"/>
      <c r="L126" s="544"/>
      <c r="M126" s="544"/>
      <c r="N126" s="544"/>
      <c r="O126" s="544"/>
      <c r="P126" s="544"/>
      <c r="Q126" s="544"/>
      <c r="R126" s="544"/>
      <c r="S126" s="544">
        <v>139</v>
      </c>
      <c r="T126" s="544">
        <v>150</v>
      </c>
      <c r="U126" s="544"/>
      <c r="V126" s="544"/>
      <c r="W126" s="544"/>
      <c r="X126" s="544"/>
      <c r="Y126" s="185"/>
    </row>
    <row r="127" spans="10:25" x14ac:dyDescent="0.35">
      <c r="J127" s="544"/>
      <c r="K127" s="544"/>
      <c r="L127" s="544"/>
      <c r="M127" s="544"/>
      <c r="N127" s="544"/>
      <c r="O127" s="544"/>
      <c r="P127" s="544"/>
      <c r="Q127" s="544"/>
      <c r="R127" s="544"/>
      <c r="S127" s="544">
        <v>140</v>
      </c>
      <c r="T127" s="544">
        <v>150</v>
      </c>
      <c r="U127" s="544"/>
      <c r="V127" s="544"/>
      <c r="W127" s="544"/>
      <c r="X127" s="544"/>
      <c r="Y127" s="185"/>
    </row>
    <row r="128" spans="10:25" x14ac:dyDescent="0.35">
      <c r="J128" s="544"/>
      <c r="K128" s="544"/>
      <c r="L128" s="544"/>
      <c r="M128" s="544"/>
      <c r="N128" s="544"/>
      <c r="O128" s="544"/>
      <c r="P128" s="544"/>
      <c r="Q128" s="544"/>
      <c r="R128" s="544"/>
      <c r="S128" s="544">
        <v>141</v>
      </c>
      <c r="T128" s="544">
        <v>150</v>
      </c>
      <c r="U128" s="544"/>
      <c r="V128" s="544"/>
      <c r="W128" s="544"/>
      <c r="X128" s="544"/>
      <c r="Y128" s="185"/>
    </row>
    <row r="129" spans="10:25" x14ac:dyDescent="0.35">
      <c r="J129" s="544"/>
      <c r="K129" s="544"/>
      <c r="L129" s="544"/>
      <c r="M129" s="544"/>
      <c r="N129" s="544"/>
      <c r="O129" s="544"/>
      <c r="P129" s="544"/>
      <c r="Q129" s="544"/>
      <c r="R129" s="544"/>
      <c r="S129" s="544">
        <v>142</v>
      </c>
      <c r="T129" s="544">
        <v>150</v>
      </c>
      <c r="U129" s="544"/>
      <c r="V129" s="544"/>
      <c r="W129" s="544"/>
      <c r="X129" s="544"/>
      <c r="Y129" s="185"/>
    </row>
    <row r="130" spans="10:25" x14ac:dyDescent="0.35">
      <c r="J130" s="544"/>
      <c r="K130" s="544"/>
      <c r="L130" s="544"/>
      <c r="M130" s="544"/>
      <c r="N130" s="544"/>
      <c r="O130" s="544"/>
      <c r="P130" s="544"/>
      <c r="Q130" s="544"/>
      <c r="R130" s="544"/>
      <c r="S130" s="544">
        <v>143</v>
      </c>
      <c r="T130" s="544">
        <v>150</v>
      </c>
      <c r="U130" s="544"/>
      <c r="V130" s="544"/>
      <c r="W130" s="544"/>
      <c r="X130" s="544"/>
      <c r="Y130" s="185"/>
    </row>
    <row r="131" spans="10:25" x14ac:dyDescent="0.35">
      <c r="J131" s="544"/>
      <c r="K131" s="544"/>
      <c r="L131" s="544"/>
      <c r="M131" s="544"/>
      <c r="N131" s="544"/>
      <c r="O131" s="544"/>
      <c r="P131" s="544"/>
      <c r="Q131" s="544"/>
      <c r="R131" s="544"/>
      <c r="S131" s="544">
        <v>144</v>
      </c>
      <c r="T131" s="544">
        <v>150</v>
      </c>
      <c r="U131" s="544"/>
      <c r="V131" s="544"/>
      <c r="W131" s="544"/>
      <c r="X131" s="544"/>
      <c r="Y131" s="185"/>
    </row>
    <row r="132" spans="10:25" x14ac:dyDescent="0.35">
      <c r="J132" s="544"/>
      <c r="K132" s="544"/>
      <c r="L132" s="544"/>
      <c r="M132" s="544"/>
      <c r="N132" s="544"/>
      <c r="O132" s="544"/>
      <c r="P132" s="544"/>
      <c r="Q132" s="544"/>
      <c r="R132" s="544"/>
      <c r="S132" s="544">
        <v>145</v>
      </c>
      <c r="T132" s="544">
        <v>150</v>
      </c>
      <c r="U132" s="544"/>
      <c r="V132" s="544"/>
      <c r="W132" s="544"/>
      <c r="X132" s="544"/>
      <c r="Y132" s="185"/>
    </row>
    <row r="133" spans="10:25" x14ac:dyDescent="0.35">
      <c r="J133" s="544"/>
      <c r="K133" s="544"/>
      <c r="L133" s="544"/>
      <c r="M133" s="544"/>
      <c r="N133" s="544"/>
      <c r="O133" s="544"/>
      <c r="P133" s="544"/>
      <c r="Q133" s="544"/>
      <c r="R133" s="544"/>
      <c r="S133" s="544">
        <v>146</v>
      </c>
      <c r="T133" s="544">
        <v>150</v>
      </c>
      <c r="U133" s="544"/>
      <c r="V133" s="544"/>
      <c r="W133" s="544"/>
      <c r="X133" s="544"/>
      <c r="Y133" s="185"/>
    </row>
    <row r="134" spans="10:25" x14ac:dyDescent="0.35">
      <c r="J134" s="544"/>
      <c r="K134" s="544"/>
      <c r="L134" s="544"/>
      <c r="M134" s="544"/>
      <c r="N134" s="544"/>
      <c r="O134" s="544"/>
      <c r="P134" s="544"/>
      <c r="Q134" s="544"/>
      <c r="R134" s="544"/>
      <c r="S134" s="544">
        <v>147</v>
      </c>
      <c r="T134" s="544">
        <v>150</v>
      </c>
      <c r="U134" s="544"/>
      <c r="V134" s="544"/>
      <c r="W134" s="544"/>
      <c r="X134" s="544"/>
      <c r="Y134" s="185"/>
    </row>
    <row r="135" spans="10:25" x14ac:dyDescent="0.35">
      <c r="J135" s="544"/>
      <c r="K135" s="544"/>
      <c r="L135" s="544"/>
      <c r="M135" s="544"/>
      <c r="N135" s="544"/>
      <c r="O135" s="544"/>
      <c r="P135" s="544"/>
      <c r="Q135" s="544"/>
      <c r="R135" s="544"/>
      <c r="S135" s="544">
        <v>148</v>
      </c>
      <c r="T135" s="544">
        <v>150</v>
      </c>
      <c r="U135" s="544"/>
      <c r="V135" s="544"/>
      <c r="W135" s="544"/>
      <c r="X135" s="544"/>
      <c r="Y135" s="185"/>
    </row>
    <row r="136" spans="10:25" x14ac:dyDescent="0.35">
      <c r="J136" s="544"/>
      <c r="K136" s="544"/>
      <c r="L136" s="544"/>
      <c r="M136" s="544"/>
      <c r="N136" s="544"/>
      <c r="O136" s="544"/>
      <c r="P136" s="544"/>
      <c r="Q136" s="544"/>
      <c r="R136" s="544"/>
      <c r="S136" s="544">
        <v>149</v>
      </c>
      <c r="T136" s="544">
        <v>150</v>
      </c>
      <c r="U136" s="544"/>
      <c r="V136" s="544"/>
      <c r="W136" s="544"/>
      <c r="X136" s="544"/>
      <c r="Y136" s="185"/>
    </row>
    <row r="137" spans="10:25" x14ac:dyDescent="0.35">
      <c r="J137" s="544"/>
      <c r="K137" s="544"/>
      <c r="L137" s="544"/>
      <c r="M137" s="544"/>
      <c r="N137" s="544"/>
      <c r="O137" s="544"/>
      <c r="P137" s="544"/>
      <c r="Q137" s="544"/>
      <c r="R137" s="544"/>
      <c r="S137" s="544">
        <v>150</v>
      </c>
      <c r="T137" s="544">
        <v>150</v>
      </c>
      <c r="U137" s="544">
        <v>150</v>
      </c>
      <c r="V137" s="544"/>
      <c r="W137" s="544"/>
      <c r="X137" s="544"/>
      <c r="Y137" s="185"/>
    </row>
    <row r="138" spans="10:25" x14ac:dyDescent="0.35">
      <c r="J138" s="544"/>
      <c r="K138" s="544"/>
      <c r="L138" s="544"/>
      <c r="M138" s="544"/>
      <c r="N138" s="544"/>
      <c r="O138" s="544"/>
      <c r="P138" s="544"/>
      <c r="Q138" s="544"/>
      <c r="R138" s="544"/>
      <c r="S138" s="544">
        <v>151</v>
      </c>
      <c r="T138" s="544">
        <v>150</v>
      </c>
      <c r="U138" s="544"/>
      <c r="V138" s="544"/>
      <c r="W138" s="544"/>
      <c r="X138" s="544"/>
      <c r="Y138" s="185"/>
    </row>
    <row r="139" spans="10:25" x14ac:dyDescent="0.35">
      <c r="J139" s="544"/>
      <c r="K139" s="544"/>
      <c r="L139" s="544"/>
      <c r="M139" s="544"/>
      <c r="N139" s="544"/>
      <c r="O139" s="544"/>
      <c r="P139" s="544"/>
      <c r="Q139" s="544"/>
      <c r="R139" s="544"/>
      <c r="S139" s="544">
        <v>152</v>
      </c>
      <c r="T139" s="544">
        <v>150</v>
      </c>
      <c r="U139" s="544"/>
      <c r="V139" s="544"/>
      <c r="W139" s="544"/>
      <c r="X139" s="544"/>
      <c r="Y139" s="185"/>
    </row>
    <row r="140" spans="10:25" x14ac:dyDescent="0.35">
      <c r="J140" s="544"/>
      <c r="K140" s="544"/>
      <c r="L140" s="544"/>
      <c r="M140" s="544"/>
      <c r="N140" s="544"/>
      <c r="O140" s="544"/>
      <c r="P140" s="544"/>
      <c r="Q140" s="544"/>
      <c r="R140" s="544"/>
      <c r="S140" s="544">
        <v>153</v>
      </c>
      <c r="T140" s="544">
        <v>150</v>
      </c>
      <c r="U140" s="544"/>
      <c r="V140" s="544"/>
      <c r="W140" s="544"/>
      <c r="X140" s="544"/>
      <c r="Y140" s="185"/>
    </row>
    <row r="141" spans="10:25" x14ac:dyDescent="0.35">
      <c r="J141" s="544"/>
      <c r="K141" s="544"/>
      <c r="L141" s="544"/>
      <c r="M141" s="544"/>
      <c r="N141" s="544"/>
      <c r="O141" s="544"/>
      <c r="P141" s="544"/>
      <c r="Q141" s="544"/>
      <c r="R141" s="544"/>
      <c r="S141" s="544">
        <v>154</v>
      </c>
      <c r="T141" s="544">
        <v>150</v>
      </c>
      <c r="U141" s="544"/>
      <c r="V141" s="544"/>
      <c r="W141" s="544"/>
      <c r="X141" s="544"/>
      <c r="Y141" s="185"/>
    </row>
    <row r="142" spans="10:25" x14ac:dyDescent="0.35">
      <c r="J142" s="544"/>
      <c r="K142" s="544"/>
      <c r="L142" s="544"/>
      <c r="M142" s="544"/>
      <c r="N142" s="544"/>
      <c r="O142" s="544"/>
      <c r="P142" s="544"/>
      <c r="Q142" s="544"/>
      <c r="R142" s="544"/>
      <c r="S142" s="544">
        <v>155</v>
      </c>
      <c r="T142" s="544">
        <v>150</v>
      </c>
      <c r="U142" s="544"/>
      <c r="V142" s="544"/>
      <c r="W142" s="544"/>
      <c r="X142" s="544"/>
      <c r="Y142" s="185"/>
    </row>
    <row r="143" spans="10:25" x14ac:dyDescent="0.35">
      <c r="J143" s="544"/>
      <c r="K143" s="544"/>
      <c r="L143" s="544"/>
      <c r="M143" s="544"/>
      <c r="N143" s="544"/>
      <c r="O143" s="544"/>
      <c r="P143" s="544"/>
      <c r="Q143" s="544"/>
      <c r="R143" s="544"/>
      <c r="S143" s="544">
        <v>156</v>
      </c>
      <c r="T143" s="544">
        <v>150</v>
      </c>
      <c r="U143" s="544"/>
      <c r="V143" s="544"/>
      <c r="W143" s="544"/>
      <c r="X143" s="544"/>
      <c r="Y143" s="185"/>
    </row>
    <row r="144" spans="10:25" x14ac:dyDescent="0.35">
      <c r="J144" s="544"/>
      <c r="K144" s="544"/>
      <c r="L144" s="544"/>
      <c r="M144" s="544"/>
      <c r="N144" s="544"/>
      <c r="O144" s="544"/>
      <c r="P144" s="544"/>
      <c r="Q144" s="544"/>
      <c r="R144" s="544"/>
      <c r="S144" s="544">
        <v>157</v>
      </c>
      <c r="T144" s="544">
        <v>150</v>
      </c>
      <c r="U144" s="544"/>
      <c r="V144" s="544"/>
      <c r="W144" s="544"/>
      <c r="X144" s="544"/>
      <c r="Y144" s="185"/>
    </row>
    <row r="145" spans="10:25" x14ac:dyDescent="0.35">
      <c r="J145" s="544"/>
      <c r="K145" s="544"/>
      <c r="L145" s="544"/>
      <c r="M145" s="544"/>
      <c r="N145" s="544"/>
      <c r="O145" s="544"/>
      <c r="P145" s="544"/>
      <c r="Q145" s="544"/>
      <c r="R145" s="544"/>
      <c r="S145" s="544">
        <v>158</v>
      </c>
      <c r="T145" s="544">
        <v>150</v>
      </c>
      <c r="U145" s="544"/>
      <c r="V145" s="544"/>
      <c r="W145" s="544"/>
      <c r="X145" s="544"/>
      <c r="Y145" s="185"/>
    </row>
    <row r="146" spans="10:25" x14ac:dyDescent="0.35">
      <c r="J146" s="544"/>
      <c r="K146" s="544"/>
      <c r="L146" s="544"/>
      <c r="M146" s="544"/>
      <c r="N146" s="544"/>
      <c r="O146" s="544"/>
      <c r="P146" s="544"/>
      <c r="Q146" s="544"/>
      <c r="R146" s="544"/>
      <c r="S146" s="544">
        <v>159</v>
      </c>
      <c r="T146" s="544">
        <v>150</v>
      </c>
      <c r="U146" s="544"/>
      <c r="V146" s="544"/>
      <c r="W146" s="544"/>
      <c r="X146" s="544"/>
      <c r="Y146" s="185"/>
    </row>
    <row r="147" spans="10:25" x14ac:dyDescent="0.35">
      <c r="J147" s="544"/>
      <c r="K147" s="544"/>
      <c r="L147" s="544"/>
      <c r="M147" s="544"/>
      <c r="N147" s="544"/>
      <c r="O147" s="544"/>
      <c r="P147" s="544"/>
      <c r="Q147" s="544"/>
      <c r="R147" s="544"/>
      <c r="S147" s="544">
        <v>160</v>
      </c>
      <c r="T147" s="544">
        <v>150</v>
      </c>
      <c r="U147" s="544"/>
      <c r="V147" s="544"/>
      <c r="W147" s="544"/>
      <c r="X147" s="544"/>
      <c r="Y147" s="185"/>
    </row>
    <row r="148" spans="10:25" x14ac:dyDescent="0.35">
      <c r="J148" s="544"/>
      <c r="K148" s="544"/>
      <c r="L148" s="544"/>
      <c r="M148" s="544"/>
      <c r="N148" s="544"/>
      <c r="O148" s="544"/>
      <c r="P148" s="544"/>
      <c r="Q148" s="544"/>
      <c r="R148" s="544"/>
      <c r="S148" s="544">
        <v>161</v>
      </c>
      <c r="T148" s="544">
        <v>150</v>
      </c>
      <c r="U148" s="544"/>
      <c r="V148" s="544"/>
      <c r="W148" s="544"/>
      <c r="X148" s="544"/>
      <c r="Y148" s="185"/>
    </row>
    <row r="149" spans="10:25" x14ac:dyDescent="0.35">
      <c r="J149" s="544"/>
      <c r="K149" s="544"/>
      <c r="L149" s="544"/>
      <c r="M149" s="544"/>
      <c r="N149" s="544"/>
      <c r="O149" s="544"/>
      <c r="P149" s="544"/>
      <c r="Q149" s="544"/>
      <c r="R149" s="544"/>
      <c r="S149" s="544">
        <v>162</v>
      </c>
      <c r="T149" s="544">
        <v>150</v>
      </c>
      <c r="U149" s="544"/>
      <c r="V149" s="544"/>
      <c r="W149" s="544"/>
      <c r="X149" s="544"/>
      <c r="Y149" s="185"/>
    </row>
    <row r="150" spans="10:25" x14ac:dyDescent="0.35">
      <c r="J150" s="544"/>
      <c r="K150" s="544"/>
      <c r="L150" s="544"/>
      <c r="M150" s="544"/>
      <c r="N150" s="544"/>
      <c r="O150" s="544"/>
      <c r="P150" s="544"/>
      <c r="Q150" s="544"/>
      <c r="R150" s="544"/>
      <c r="S150" s="544">
        <v>163</v>
      </c>
      <c r="T150" s="544">
        <v>150</v>
      </c>
      <c r="U150" s="544"/>
      <c r="V150" s="544"/>
      <c r="W150" s="544"/>
      <c r="X150" s="544"/>
      <c r="Y150" s="185"/>
    </row>
    <row r="151" spans="10:25" x14ac:dyDescent="0.35">
      <c r="J151" s="544"/>
      <c r="K151" s="544"/>
      <c r="L151" s="544"/>
      <c r="M151" s="544"/>
      <c r="N151" s="544"/>
      <c r="O151" s="544"/>
      <c r="P151" s="544"/>
      <c r="Q151" s="544"/>
      <c r="R151" s="544"/>
      <c r="S151" s="544">
        <v>164</v>
      </c>
      <c r="T151" s="544">
        <v>150</v>
      </c>
      <c r="U151" s="544"/>
      <c r="V151" s="544"/>
      <c r="W151" s="544"/>
      <c r="X151" s="544"/>
      <c r="Y151" s="185"/>
    </row>
    <row r="152" spans="10:25" x14ac:dyDescent="0.35">
      <c r="J152" s="544"/>
      <c r="K152" s="544"/>
      <c r="L152" s="544"/>
      <c r="M152" s="544"/>
      <c r="N152" s="544"/>
      <c r="O152" s="544"/>
      <c r="P152" s="544"/>
      <c r="Q152" s="544"/>
      <c r="R152" s="544"/>
      <c r="S152" s="544">
        <v>165</v>
      </c>
      <c r="T152" s="544">
        <v>150</v>
      </c>
      <c r="U152" s="544"/>
      <c r="V152" s="544"/>
      <c r="W152" s="544"/>
      <c r="X152" s="544"/>
      <c r="Y152" s="185"/>
    </row>
    <row r="153" spans="10:25" x14ac:dyDescent="0.35">
      <c r="J153" s="544"/>
      <c r="K153" s="544"/>
      <c r="L153" s="544"/>
      <c r="M153" s="544"/>
      <c r="N153" s="544"/>
      <c r="O153" s="544"/>
      <c r="P153" s="544"/>
      <c r="Q153" s="544"/>
      <c r="R153" s="544"/>
      <c r="S153" s="544">
        <v>166</v>
      </c>
      <c r="T153" s="544">
        <v>150</v>
      </c>
      <c r="U153" s="544"/>
      <c r="V153" s="544"/>
      <c r="W153" s="544"/>
      <c r="X153" s="544"/>
      <c r="Y153" s="185"/>
    </row>
    <row r="154" spans="10:25" x14ac:dyDescent="0.35">
      <c r="J154" s="544"/>
      <c r="K154" s="544"/>
      <c r="L154" s="544"/>
      <c r="M154" s="544"/>
      <c r="N154" s="544"/>
      <c r="O154" s="544"/>
      <c r="P154" s="544"/>
      <c r="Q154" s="544"/>
      <c r="R154" s="544"/>
      <c r="S154" s="544">
        <v>167</v>
      </c>
      <c r="T154" s="544">
        <v>150</v>
      </c>
      <c r="U154" s="544"/>
      <c r="V154" s="544"/>
      <c r="W154" s="544"/>
      <c r="X154" s="544"/>
      <c r="Y154" s="185"/>
    </row>
    <row r="155" spans="10:25" x14ac:dyDescent="0.35">
      <c r="J155" s="544"/>
      <c r="K155" s="544"/>
      <c r="L155" s="544"/>
      <c r="M155" s="544"/>
      <c r="N155" s="544"/>
      <c r="O155" s="544"/>
      <c r="P155" s="544"/>
      <c r="Q155" s="544"/>
      <c r="R155" s="544"/>
      <c r="S155" s="544">
        <v>168</v>
      </c>
      <c r="T155" s="544">
        <v>150</v>
      </c>
      <c r="U155" s="544"/>
      <c r="V155" s="544"/>
      <c r="W155" s="544"/>
      <c r="X155" s="544"/>
      <c r="Y155" s="185"/>
    </row>
    <row r="156" spans="10:25" x14ac:dyDescent="0.35">
      <c r="J156" s="544"/>
      <c r="K156" s="544"/>
      <c r="L156" s="544"/>
      <c r="M156" s="544"/>
      <c r="N156" s="544"/>
      <c r="O156" s="544"/>
      <c r="P156" s="544"/>
      <c r="Q156" s="544"/>
      <c r="R156" s="544"/>
      <c r="S156" s="544">
        <v>169</v>
      </c>
      <c r="T156" s="544">
        <v>150</v>
      </c>
      <c r="U156" s="544"/>
      <c r="V156" s="544"/>
      <c r="W156" s="544"/>
      <c r="X156" s="544"/>
      <c r="Y156" s="185"/>
    </row>
    <row r="157" spans="10:25" x14ac:dyDescent="0.35">
      <c r="J157" s="544"/>
      <c r="K157" s="544"/>
      <c r="L157" s="544"/>
      <c r="M157" s="544"/>
      <c r="N157" s="544"/>
      <c r="O157" s="544"/>
      <c r="P157" s="544"/>
      <c r="Q157" s="544"/>
      <c r="R157" s="544"/>
      <c r="S157" s="544">
        <v>170</v>
      </c>
      <c r="T157" s="544">
        <v>150</v>
      </c>
      <c r="U157" s="544"/>
      <c r="V157" s="544"/>
      <c r="W157" s="544"/>
      <c r="X157" s="544"/>
      <c r="Y157" s="185"/>
    </row>
    <row r="158" spans="10:25" x14ac:dyDescent="0.35">
      <c r="J158" s="544"/>
      <c r="K158" s="544"/>
      <c r="L158" s="544"/>
      <c r="M158" s="544"/>
      <c r="N158" s="544"/>
      <c r="O158" s="544"/>
      <c r="P158" s="544"/>
      <c r="Q158" s="544"/>
      <c r="R158" s="544"/>
      <c r="S158" s="544">
        <v>171</v>
      </c>
      <c r="T158" s="544">
        <v>150</v>
      </c>
      <c r="U158" s="544"/>
      <c r="V158" s="544"/>
      <c r="W158" s="544"/>
      <c r="X158" s="544"/>
      <c r="Y158" s="185"/>
    </row>
    <row r="159" spans="10:25" x14ac:dyDescent="0.35">
      <c r="J159" s="544"/>
      <c r="K159" s="544"/>
      <c r="L159" s="544"/>
      <c r="M159" s="544"/>
      <c r="N159" s="544"/>
      <c r="O159" s="544"/>
      <c r="P159" s="544"/>
      <c r="Q159" s="544"/>
      <c r="R159" s="544"/>
      <c r="S159" s="544">
        <v>172</v>
      </c>
      <c r="T159" s="544">
        <v>150</v>
      </c>
      <c r="U159" s="544"/>
      <c r="V159" s="544"/>
      <c r="W159" s="544"/>
      <c r="X159" s="544"/>
      <c r="Y159" s="185"/>
    </row>
    <row r="160" spans="10:25" x14ac:dyDescent="0.35">
      <c r="J160" s="544"/>
      <c r="K160" s="544"/>
      <c r="L160" s="544"/>
      <c r="M160" s="544"/>
      <c r="N160" s="544"/>
      <c r="O160" s="544"/>
      <c r="P160" s="544"/>
      <c r="Q160" s="544"/>
      <c r="R160" s="544"/>
      <c r="S160" s="544">
        <v>173</v>
      </c>
      <c r="T160" s="544">
        <v>150</v>
      </c>
      <c r="U160" s="544"/>
      <c r="V160" s="544"/>
      <c r="W160" s="544"/>
      <c r="X160" s="544"/>
      <c r="Y160" s="185"/>
    </row>
    <row r="161" spans="10:25" x14ac:dyDescent="0.35">
      <c r="J161" s="544"/>
      <c r="K161" s="544"/>
      <c r="L161" s="544"/>
      <c r="M161" s="544"/>
      <c r="N161" s="544"/>
      <c r="O161" s="544"/>
      <c r="P161" s="544"/>
      <c r="Q161" s="544"/>
      <c r="R161" s="544"/>
      <c r="S161" s="544">
        <v>174</v>
      </c>
      <c r="T161" s="544">
        <v>150</v>
      </c>
      <c r="U161" s="544"/>
      <c r="V161" s="544"/>
      <c r="W161" s="544"/>
      <c r="X161" s="544"/>
      <c r="Y161" s="185"/>
    </row>
    <row r="162" spans="10:25" x14ac:dyDescent="0.35">
      <c r="J162" s="544"/>
      <c r="K162" s="544"/>
      <c r="L162" s="544"/>
      <c r="M162" s="544"/>
      <c r="N162" s="544"/>
      <c r="O162" s="544"/>
      <c r="P162" s="544"/>
      <c r="Q162" s="544"/>
      <c r="R162" s="544"/>
      <c r="S162" s="544">
        <v>175</v>
      </c>
      <c r="T162" s="544">
        <v>150</v>
      </c>
      <c r="U162" s="544"/>
      <c r="V162" s="544"/>
      <c r="W162" s="544"/>
      <c r="X162" s="544"/>
      <c r="Y162" s="185"/>
    </row>
    <row r="163" spans="10:25" x14ac:dyDescent="0.35">
      <c r="J163" s="544"/>
      <c r="K163" s="544"/>
      <c r="L163" s="544"/>
      <c r="M163" s="544"/>
      <c r="N163" s="544"/>
      <c r="O163" s="544"/>
      <c r="P163" s="544"/>
      <c r="Q163" s="544"/>
      <c r="R163" s="544"/>
      <c r="S163" s="544">
        <v>176</v>
      </c>
      <c r="T163" s="544">
        <v>150</v>
      </c>
      <c r="U163" s="544"/>
      <c r="V163" s="544"/>
      <c r="W163" s="544"/>
      <c r="X163" s="544"/>
      <c r="Y163" s="185"/>
    </row>
    <row r="164" spans="10:25" x14ac:dyDescent="0.35">
      <c r="J164" s="544"/>
      <c r="K164" s="544"/>
      <c r="L164" s="544"/>
      <c r="M164" s="544"/>
      <c r="N164" s="544"/>
      <c r="O164" s="544"/>
      <c r="P164" s="544"/>
      <c r="Q164" s="544"/>
      <c r="R164" s="544"/>
      <c r="S164" s="544">
        <v>177</v>
      </c>
      <c r="T164" s="544">
        <v>150</v>
      </c>
      <c r="U164" s="544"/>
      <c r="V164" s="544"/>
      <c r="W164" s="544"/>
      <c r="X164" s="544"/>
      <c r="Y164" s="185"/>
    </row>
    <row r="165" spans="10:25" x14ac:dyDescent="0.35">
      <c r="J165" s="544"/>
      <c r="K165" s="544"/>
      <c r="L165" s="544"/>
      <c r="M165" s="544"/>
      <c r="N165" s="544"/>
      <c r="O165" s="544"/>
      <c r="P165" s="544"/>
      <c r="Q165" s="544"/>
      <c r="R165" s="544"/>
      <c r="S165" s="544">
        <v>178</v>
      </c>
      <c r="T165" s="544">
        <v>150</v>
      </c>
      <c r="U165" s="544"/>
      <c r="V165" s="544"/>
      <c r="W165" s="544"/>
      <c r="X165" s="544"/>
      <c r="Y165" s="185"/>
    </row>
    <row r="166" spans="10:25" x14ac:dyDescent="0.35">
      <c r="J166" s="544"/>
      <c r="K166" s="544"/>
      <c r="L166" s="544"/>
      <c r="M166" s="544"/>
      <c r="N166" s="544"/>
      <c r="O166" s="544"/>
      <c r="P166" s="544"/>
      <c r="Q166" s="544"/>
      <c r="R166" s="544"/>
      <c r="S166" s="544">
        <v>179</v>
      </c>
      <c r="T166" s="544">
        <v>150</v>
      </c>
      <c r="U166" s="544"/>
      <c r="V166" s="544"/>
      <c r="W166" s="544"/>
      <c r="X166" s="544"/>
      <c r="Y166" s="185"/>
    </row>
    <row r="167" spans="10:25" x14ac:dyDescent="0.35">
      <c r="J167" s="544"/>
      <c r="K167" s="544"/>
      <c r="L167" s="544"/>
      <c r="M167" s="544"/>
      <c r="N167" s="544"/>
      <c r="O167" s="544"/>
      <c r="P167" s="544"/>
      <c r="Q167" s="544"/>
      <c r="R167" s="544"/>
      <c r="S167" s="544">
        <v>180</v>
      </c>
      <c r="T167" s="544">
        <v>150</v>
      </c>
      <c r="U167" s="544"/>
      <c r="V167" s="544"/>
      <c r="W167" s="544"/>
      <c r="X167" s="544"/>
      <c r="Y167" s="185"/>
    </row>
    <row r="168" spans="10:25" x14ac:dyDescent="0.35">
      <c r="J168" s="544"/>
      <c r="K168" s="544"/>
      <c r="L168" s="544"/>
      <c r="M168" s="544"/>
      <c r="N168" s="544"/>
      <c r="O168" s="544"/>
      <c r="P168" s="544"/>
      <c r="Q168" s="544"/>
      <c r="R168" s="544"/>
      <c r="S168" s="544">
        <v>181</v>
      </c>
      <c r="T168" s="544">
        <v>150</v>
      </c>
      <c r="U168" s="544"/>
      <c r="V168" s="544"/>
      <c r="W168" s="544"/>
      <c r="X168" s="544"/>
      <c r="Y168" s="185"/>
    </row>
    <row r="169" spans="10:25" x14ac:dyDescent="0.35">
      <c r="J169" s="544"/>
      <c r="K169" s="544"/>
      <c r="L169" s="544"/>
      <c r="M169" s="544"/>
      <c r="N169" s="544"/>
      <c r="O169" s="544"/>
      <c r="P169" s="544"/>
      <c r="Q169" s="544"/>
      <c r="R169" s="544"/>
      <c r="S169" s="544">
        <v>182</v>
      </c>
      <c r="T169" s="544">
        <v>150</v>
      </c>
      <c r="U169" s="544"/>
      <c r="V169" s="544"/>
      <c r="W169" s="544"/>
      <c r="X169" s="544"/>
      <c r="Y169" s="185"/>
    </row>
    <row r="170" spans="10:25" x14ac:dyDescent="0.35">
      <c r="J170" s="544"/>
      <c r="K170" s="544"/>
      <c r="L170" s="544"/>
      <c r="M170" s="544"/>
      <c r="N170" s="544"/>
      <c r="O170" s="544"/>
      <c r="P170" s="544"/>
      <c r="Q170" s="544"/>
      <c r="R170" s="544"/>
      <c r="S170" s="544">
        <v>183</v>
      </c>
      <c r="T170" s="544">
        <v>150</v>
      </c>
      <c r="U170" s="544"/>
      <c r="V170" s="544"/>
      <c r="W170" s="544"/>
      <c r="X170" s="544"/>
      <c r="Y170" s="185"/>
    </row>
    <row r="171" spans="10:25" x14ac:dyDescent="0.35">
      <c r="J171" s="544"/>
      <c r="K171" s="544"/>
      <c r="L171" s="544"/>
      <c r="M171" s="544"/>
      <c r="N171" s="544"/>
      <c r="O171" s="544"/>
      <c r="P171" s="544"/>
      <c r="Q171" s="544"/>
      <c r="R171" s="544"/>
      <c r="S171" s="544">
        <v>184</v>
      </c>
      <c r="T171" s="544">
        <v>150</v>
      </c>
      <c r="U171" s="544"/>
      <c r="V171" s="544"/>
      <c r="W171" s="544"/>
      <c r="X171" s="544"/>
      <c r="Y171" s="185"/>
    </row>
    <row r="172" spans="10:25" x14ac:dyDescent="0.35">
      <c r="J172" s="544"/>
      <c r="K172" s="544"/>
      <c r="L172" s="544"/>
      <c r="M172" s="544"/>
      <c r="N172" s="544"/>
      <c r="O172" s="544"/>
      <c r="P172" s="544"/>
      <c r="Q172" s="544"/>
      <c r="R172" s="544"/>
      <c r="S172" s="544">
        <v>185</v>
      </c>
      <c r="T172" s="544">
        <v>150</v>
      </c>
      <c r="U172" s="544"/>
      <c r="V172" s="544"/>
      <c r="W172" s="544"/>
      <c r="X172" s="544"/>
      <c r="Y172" s="185"/>
    </row>
    <row r="173" spans="10:25" x14ac:dyDescent="0.35">
      <c r="J173" s="544"/>
      <c r="K173" s="544"/>
      <c r="L173" s="544"/>
      <c r="M173" s="544"/>
      <c r="N173" s="544"/>
      <c r="O173" s="544"/>
      <c r="P173" s="544"/>
      <c r="Q173" s="544"/>
      <c r="R173" s="544"/>
      <c r="S173" s="544">
        <v>186</v>
      </c>
      <c r="T173" s="544">
        <v>150</v>
      </c>
      <c r="U173" s="544"/>
      <c r="V173" s="544"/>
      <c r="W173" s="544"/>
      <c r="X173" s="544"/>
      <c r="Y173" s="185"/>
    </row>
    <row r="174" spans="10:25" x14ac:dyDescent="0.35">
      <c r="J174" s="544"/>
      <c r="K174" s="544"/>
      <c r="L174" s="544"/>
      <c r="M174" s="544"/>
      <c r="N174" s="544"/>
      <c r="O174" s="544"/>
      <c r="P174" s="544"/>
      <c r="Q174" s="544"/>
      <c r="R174" s="544"/>
      <c r="S174" s="544">
        <v>187</v>
      </c>
      <c r="T174" s="544">
        <v>150</v>
      </c>
      <c r="U174" s="544"/>
      <c r="V174" s="544"/>
      <c r="W174" s="544"/>
      <c r="X174" s="544"/>
      <c r="Y174" s="185"/>
    </row>
    <row r="175" spans="10:25" x14ac:dyDescent="0.35">
      <c r="J175" s="544"/>
      <c r="K175" s="544"/>
      <c r="L175" s="544"/>
      <c r="M175" s="544"/>
      <c r="N175" s="544"/>
      <c r="O175" s="544"/>
      <c r="P175" s="544"/>
      <c r="Q175" s="544"/>
      <c r="R175" s="544"/>
      <c r="S175" s="544">
        <v>188</v>
      </c>
      <c r="T175" s="544">
        <v>150</v>
      </c>
      <c r="U175" s="544"/>
      <c r="V175" s="544"/>
      <c r="W175" s="544"/>
      <c r="X175" s="544"/>
      <c r="Y175" s="185"/>
    </row>
    <row r="176" spans="10:25" x14ac:dyDescent="0.35">
      <c r="J176" s="544"/>
      <c r="K176" s="544"/>
      <c r="L176" s="544"/>
      <c r="M176" s="544"/>
      <c r="N176" s="544"/>
      <c r="O176" s="544"/>
      <c r="P176" s="544"/>
      <c r="Q176" s="544"/>
      <c r="R176" s="544"/>
      <c r="S176" s="544">
        <v>189</v>
      </c>
      <c r="T176" s="544">
        <v>150</v>
      </c>
      <c r="U176" s="544"/>
      <c r="V176" s="544"/>
      <c r="W176" s="544"/>
      <c r="X176" s="544"/>
      <c r="Y176" s="185"/>
    </row>
    <row r="177" spans="10:25" x14ac:dyDescent="0.35">
      <c r="J177" s="544"/>
      <c r="K177" s="544"/>
      <c r="L177" s="544"/>
      <c r="M177" s="544"/>
      <c r="N177" s="544"/>
      <c r="O177" s="544"/>
      <c r="P177" s="544"/>
      <c r="Q177" s="544"/>
      <c r="R177" s="544"/>
      <c r="S177" s="544">
        <v>190</v>
      </c>
      <c r="T177" s="544">
        <v>150</v>
      </c>
      <c r="U177" s="544"/>
      <c r="V177" s="544"/>
      <c r="W177" s="544"/>
      <c r="X177" s="544"/>
      <c r="Y177" s="185"/>
    </row>
    <row r="178" spans="10:25" x14ac:dyDescent="0.35">
      <c r="J178" s="544"/>
      <c r="K178" s="544"/>
      <c r="L178" s="544"/>
      <c r="M178" s="544"/>
      <c r="N178" s="544"/>
      <c r="O178" s="544"/>
      <c r="P178" s="544"/>
      <c r="Q178" s="544"/>
      <c r="R178" s="544"/>
      <c r="S178" s="544">
        <v>191</v>
      </c>
      <c r="T178" s="544">
        <v>150</v>
      </c>
      <c r="U178" s="544"/>
      <c r="V178" s="544"/>
      <c r="W178" s="544"/>
      <c r="X178" s="544"/>
      <c r="Y178" s="185"/>
    </row>
    <row r="179" spans="10:25" x14ac:dyDescent="0.35">
      <c r="J179" s="544"/>
      <c r="K179" s="544"/>
      <c r="L179" s="544"/>
      <c r="M179" s="544"/>
      <c r="N179" s="544"/>
      <c r="O179" s="544"/>
      <c r="P179" s="544"/>
      <c r="Q179" s="544"/>
      <c r="R179" s="544"/>
      <c r="S179" s="544">
        <v>192</v>
      </c>
      <c r="T179" s="544">
        <v>150</v>
      </c>
      <c r="U179" s="544"/>
      <c r="V179" s="544"/>
      <c r="W179" s="544"/>
      <c r="X179" s="544"/>
      <c r="Y179" s="185"/>
    </row>
    <row r="180" spans="10:25" x14ac:dyDescent="0.35">
      <c r="J180" s="544"/>
      <c r="K180" s="544"/>
      <c r="L180" s="544"/>
      <c r="M180" s="544"/>
      <c r="N180" s="544"/>
      <c r="O180" s="544"/>
      <c r="P180" s="544"/>
      <c r="Q180" s="544"/>
      <c r="R180" s="544"/>
      <c r="S180" s="544">
        <v>193</v>
      </c>
      <c r="T180" s="544">
        <v>150</v>
      </c>
      <c r="U180" s="544"/>
      <c r="V180" s="544"/>
      <c r="W180" s="544"/>
      <c r="X180" s="544"/>
      <c r="Y180" s="185"/>
    </row>
    <row r="181" spans="10:25" x14ac:dyDescent="0.35">
      <c r="J181" s="544"/>
      <c r="K181" s="544"/>
      <c r="L181" s="544"/>
      <c r="M181" s="544"/>
      <c r="N181" s="544"/>
      <c r="O181" s="544"/>
      <c r="P181" s="544"/>
      <c r="Q181" s="544"/>
      <c r="R181" s="544"/>
      <c r="S181" s="544">
        <v>194</v>
      </c>
      <c r="T181" s="544">
        <v>150</v>
      </c>
      <c r="U181" s="544"/>
      <c r="V181" s="544"/>
      <c r="W181" s="544"/>
      <c r="X181" s="544"/>
      <c r="Y181" s="185"/>
    </row>
    <row r="182" spans="10:25" x14ac:dyDescent="0.35">
      <c r="J182" s="544"/>
      <c r="K182" s="544"/>
      <c r="L182" s="544"/>
      <c r="M182" s="544"/>
      <c r="N182" s="544"/>
      <c r="O182" s="544"/>
      <c r="P182" s="544"/>
      <c r="Q182" s="544"/>
      <c r="R182" s="544"/>
      <c r="S182" s="544">
        <v>195</v>
      </c>
      <c r="T182" s="544">
        <v>150</v>
      </c>
      <c r="U182" s="544"/>
      <c r="V182" s="544"/>
      <c r="W182" s="544"/>
      <c r="X182" s="544"/>
      <c r="Y182" s="185"/>
    </row>
    <row r="183" spans="10:25" x14ac:dyDescent="0.35">
      <c r="J183" s="544"/>
      <c r="K183" s="544"/>
      <c r="L183" s="544"/>
      <c r="M183" s="544"/>
      <c r="N183" s="544"/>
      <c r="O183" s="544"/>
      <c r="P183" s="544"/>
      <c r="Q183" s="544"/>
      <c r="R183" s="544"/>
      <c r="S183" s="544">
        <v>196</v>
      </c>
      <c r="T183" s="544">
        <v>150</v>
      </c>
      <c r="U183" s="544"/>
      <c r="V183" s="544"/>
      <c r="W183" s="544"/>
      <c r="X183" s="544"/>
      <c r="Y183" s="185"/>
    </row>
    <row r="184" spans="10:25" x14ac:dyDescent="0.35">
      <c r="J184" s="544"/>
      <c r="K184" s="544"/>
      <c r="L184" s="544"/>
      <c r="M184" s="544"/>
      <c r="N184" s="544"/>
      <c r="O184" s="544"/>
      <c r="P184" s="544"/>
      <c r="Q184" s="544"/>
      <c r="R184" s="544"/>
      <c r="S184" s="544">
        <v>197</v>
      </c>
      <c r="T184" s="544">
        <v>150</v>
      </c>
      <c r="U184" s="544"/>
      <c r="V184" s="544"/>
      <c r="W184" s="544"/>
      <c r="X184" s="544"/>
      <c r="Y184" s="185"/>
    </row>
    <row r="185" spans="10:25" x14ac:dyDescent="0.35">
      <c r="J185" s="544"/>
      <c r="K185" s="544"/>
      <c r="L185" s="544"/>
      <c r="M185" s="544"/>
      <c r="N185" s="544"/>
      <c r="O185" s="544"/>
      <c r="P185" s="544"/>
      <c r="Q185" s="544"/>
      <c r="R185" s="544"/>
      <c r="S185" s="544">
        <v>198</v>
      </c>
      <c r="T185" s="544">
        <v>150</v>
      </c>
      <c r="U185" s="544"/>
      <c r="V185" s="544"/>
      <c r="W185" s="544"/>
      <c r="X185" s="544"/>
      <c r="Y185" s="185"/>
    </row>
    <row r="186" spans="10:25" x14ac:dyDescent="0.35">
      <c r="J186" s="544"/>
      <c r="K186" s="544"/>
      <c r="L186" s="544"/>
      <c r="M186" s="544"/>
      <c r="N186" s="544"/>
      <c r="O186" s="544"/>
      <c r="P186" s="544"/>
      <c r="Q186" s="544"/>
      <c r="R186" s="544"/>
      <c r="S186" s="544">
        <v>199</v>
      </c>
      <c r="T186" s="544">
        <v>150</v>
      </c>
      <c r="U186" s="544"/>
      <c r="V186" s="544"/>
      <c r="W186" s="544"/>
      <c r="X186" s="544"/>
      <c r="Y186" s="185"/>
    </row>
    <row r="187" spans="10:25" x14ac:dyDescent="0.35">
      <c r="J187" s="544"/>
      <c r="K187" s="544"/>
      <c r="L187" s="544"/>
      <c r="M187" s="544"/>
      <c r="N187" s="544"/>
      <c r="O187" s="544"/>
      <c r="P187" s="544"/>
      <c r="Q187" s="544"/>
      <c r="R187" s="544"/>
      <c r="S187" s="544">
        <v>200</v>
      </c>
      <c r="T187" s="544">
        <v>150</v>
      </c>
      <c r="U187" s="544">
        <v>200</v>
      </c>
      <c r="V187" s="544"/>
      <c r="W187" s="544"/>
      <c r="X187" s="544"/>
      <c r="Y187" s="185"/>
    </row>
    <row r="188" spans="10:25" x14ac:dyDescent="0.35">
      <c r="J188" s="544"/>
      <c r="K188" s="544"/>
      <c r="L188" s="544"/>
      <c r="M188" s="544"/>
      <c r="N188" s="544"/>
      <c r="O188" s="544"/>
      <c r="P188" s="544"/>
      <c r="Q188" s="544"/>
      <c r="R188" s="544"/>
      <c r="S188" s="544">
        <v>201</v>
      </c>
      <c r="T188" s="544">
        <v>150</v>
      </c>
      <c r="U188" s="544"/>
      <c r="V188" s="544"/>
      <c r="W188" s="544"/>
      <c r="X188" s="544"/>
      <c r="Y188" s="185"/>
    </row>
    <row r="189" spans="10:25" x14ac:dyDescent="0.35">
      <c r="J189" s="544"/>
      <c r="K189" s="544"/>
      <c r="L189" s="544"/>
      <c r="M189" s="544"/>
      <c r="N189" s="544"/>
      <c r="O189" s="544"/>
      <c r="P189" s="544"/>
      <c r="Q189" s="544"/>
      <c r="R189" s="544"/>
      <c r="S189" s="544">
        <v>202</v>
      </c>
      <c r="T189" s="544">
        <v>150</v>
      </c>
      <c r="U189" s="544"/>
      <c r="V189" s="544"/>
      <c r="W189" s="544"/>
      <c r="X189" s="544"/>
      <c r="Y189" s="185"/>
    </row>
    <row r="190" spans="10:25" x14ac:dyDescent="0.35">
      <c r="J190" s="544"/>
      <c r="K190" s="544"/>
      <c r="L190" s="544"/>
      <c r="M190" s="544"/>
      <c r="N190" s="544"/>
      <c r="O190" s="544"/>
      <c r="P190" s="544"/>
      <c r="Q190" s="544"/>
      <c r="R190" s="544"/>
      <c r="S190" s="544">
        <v>203</v>
      </c>
      <c r="T190" s="544">
        <v>150</v>
      </c>
      <c r="U190" s="544"/>
      <c r="V190" s="544"/>
      <c r="W190" s="544"/>
      <c r="X190" s="544"/>
      <c r="Y190" s="185"/>
    </row>
    <row r="191" spans="10:25" x14ac:dyDescent="0.35">
      <c r="J191" s="544"/>
      <c r="K191" s="544"/>
      <c r="L191" s="544"/>
      <c r="M191" s="544"/>
      <c r="N191" s="544"/>
      <c r="O191" s="544"/>
      <c r="P191" s="544"/>
      <c r="Q191" s="544"/>
      <c r="R191" s="544"/>
      <c r="S191" s="544">
        <v>204</v>
      </c>
      <c r="T191" s="544">
        <v>150</v>
      </c>
      <c r="U191" s="544"/>
      <c r="V191" s="544"/>
      <c r="W191" s="544"/>
      <c r="X191" s="544"/>
      <c r="Y191" s="185"/>
    </row>
    <row r="192" spans="10:25" x14ac:dyDescent="0.35">
      <c r="J192" s="544"/>
      <c r="K192" s="544"/>
      <c r="L192" s="544"/>
      <c r="M192" s="544"/>
      <c r="N192" s="544"/>
      <c r="O192" s="544"/>
      <c r="P192" s="544"/>
      <c r="Q192" s="544"/>
      <c r="R192" s="544"/>
      <c r="S192" s="544">
        <v>205</v>
      </c>
      <c r="T192" s="544">
        <v>150</v>
      </c>
      <c r="U192" s="544"/>
      <c r="V192" s="544"/>
      <c r="W192" s="544"/>
      <c r="X192" s="544"/>
      <c r="Y192" s="185"/>
    </row>
    <row r="193" spans="10:25" x14ac:dyDescent="0.35">
      <c r="J193" s="544"/>
      <c r="K193" s="544"/>
      <c r="L193" s="544"/>
      <c r="M193" s="544"/>
      <c r="N193" s="544"/>
      <c r="O193" s="544"/>
      <c r="P193" s="544"/>
      <c r="Q193" s="544"/>
      <c r="R193" s="544"/>
      <c r="S193" s="544">
        <v>206</v>
      </c>
      <c r="T193" s="544">
        <v>150</v>
      </c>
      <c r="U193" s="544"/>
      <c r="V193" s="544"/>
      <c r="W193" s="544"/>
      <c r="X193" s="544"/>
      <c r="Y193" s="185"/>
    </row>
    <row r="194" spans="10:25" x14ac:dyDescent="0.35">
      <c r="J194" s="544"/>
      <c r="K194" s="544"/>
      <c r="L194" s="544"/>
      <c r="M194" s="544"/>
      <c r="N194" s="544"/>
      <c r="O194" s="544"/>
      <c r="P194" s="544"/>
      <c r="Q194" s="544"/>
      <c r="R194" s="544"/>
      <c r="S194" s="544">
        <v>207</v>
      </c>
      <c r="T194" s="544">
        <v>150</v>
      </c>
      <c r="U194" s="544"/>
      <c r="V194" s="544"/>
      <c r="W194" s="544"/>
      <c r="X194" s="544"/>
      <c r="Y194" s="185"/>
    </row>
    <row r="195" spans="10:25" x14ac:dyDescent="0.35">
      <c r="J195" s="544"/>
      <c r="K195" s="544"/>
      <c r="L195" s="544"/>
      <c r="M195" s="544"/>
      <c r="N195" s="544"/>
      <c r="O195" s="544"/>
      <c r="P195" s="544"/>
      <c r="Q195" s="544"/>
      <c r="R195" s="544"/>
      <c r="S195" s="544">
        <v>208</v>
      </c>
      <c r="T195" s="544">
        <v>150</v>
      </c>
      <c r="U195" s="544"/>
      <c r="V195" s="544"/>
      <c r="W195" s="544"/>
      <c r="X195" s="544"/>
      <c r="Y195" s="185"/>
    </row>
    <row r="196" spans="10:25" x14ac:dyDescent="0.35">
      <c r="J196" s="544"/>
      <c r="K196" s="544"/>
      <c r="L196" s="544"/>
      <c r="M196" s="544"/>
      <c r="N196" s="544"/>
      <c r="O196" s="544"/>
      <c r="P196" s="544"/>
      <c r="Q196" s="544"/>
      <c r="R196" s="544"/>
      <c r="S196" s="544">
        <v>209</v>
      </c>
      <c r="T196" s="544">
        <v>150</v>
      </c>
      <c r="U196" s="544"/>
      <c r="V196" s="544"/>
      <c r="W196" s="544"/>
      <c r="X196" s="544"/>
      <c r="Y196" s="185"/>
    </row>
    <row r="197" spans="10:25" x14ac:dyDescent="0.35">
      <c r="J197" s="544"/>
      <c r="K197" s="544"/>
      <c r="L197" s="544"/>
      <c r="M197" s="544"/>
      <c r="N197" s="544"/>
      <c r="O197" s="544"/>
      <c r="P197" s="544"/>
      <c r="Q197" s="544"/>
      <c r="R197" s="544"/>
      <c r="S197" s="544">
        <v>210</v>
      </c>
      <c r="T197" s="544">
        <v>150</v>
      </c>
      <c r="U197" s="544"/>
      <c r="V197" s="544"/>
      <c r="W197" s="544"/>
      <c r="X197" s="544"/>
      <c r="Y197" s="185"/>
    </row>
    <row r="198" spans="10:25" x14ac:dyDescent="0.35">
      <c r="J198" s="544"/>
      <c r="K198" s="544"/>
      <c r="L198" s="544"/>
      <c r="M198" s="544"/>
      <c r="N198" s="544"/>
      <c r="O198" s="544"/>
      <c r="P198" s="544"/>
      <c r="Q198" s="544"/>
      <c r="R198" s="544"/>
      <c r="S198" s="544">
        <v>211</v>
      </c>
      <c r="T198" s="544">
        <v>150</v>
      </c>
      <c r="U198" s="544"/>
      <c r="V198" s="544"/>
      <c r="W198" s="544"/>
      <c r="X198" s="544"/>
      <c r="Y198" s="185"/>
    </row>
    <row r="199" spans="10:25" x14ac:dyDescent="0.35">
      <c r="J199" s="544"/>
      <c r="K199" s="544"/>
      <c r="L199" s="544"/>
      <c r="M199" s="544"/>
      <c r="N199" s="544"/>
      <c r="O199" s="544"/>
      <c r="P199" s="544"/>
      <c r="Q199" s="544"/>
      <c r="R199" s="544"/>
      <c r="S199" s="544">
        <v>212</v>
      </c>
      <c r="T199" s="544">
        <v>150</v>
      </c>
      <c r="U199" s="544"/>
      <c r="V199" s="544"/>
      <c r="W199" s="544"/>
      <c r="X199" s="544"/>
      <c r="Y199" s="185"/>
    </row>
    <row r="200" spans="10:25" x14ac:dyDescent="0.35">
      <c r="J200" s="544"/>
      <c r="K200" s="544"/>
      <c r="L200" s="544"/>
      <c r="M200" s="544"/>
      <c r="N200" s="544"/>
      <c r="O200" s="544"/>
      <c r="P200" s="544"/>
      <c r="Q200" s="544"/>
      <c r="R200" s="544"/>
      <c r="S200" s="544">
        <v>213</v>
      </c>
      <c r="T200" s="544">
        <v>150</v>
      </c>
      <c r="U200" s="544"/>
      <c r="V200" s="544"/>
      <c r="W200" s="544"/>
      <c r="X200" s="544"/>
      <c r="Y200" s="185"/>
    </row>
    <row r="201" spans="10:25" x14ac:dyDescent="0.35">
      <c r="J201" s="544"/>
      <c r="K201" s="544"/>
      <c r="L201" s="544"/>
      <c r="M201" s="544"/>
      <c r="N201" s="544"/>
      <c r="O201" s="544"/>
      <c r="P201" s="544"/>
      <c r="Q201" s="544"/>
      <c r="R201" s="544"/>
      <c r="S201" s="544">
        <v>214</v>
      </c>
      <c r="T201" s="544">
        <v>150</v>
      </c>
      <c r="U201" s="544"/>
      <c r="V201" s="544"/>
      <c r="W201" s="544"/>
      <c r="X201" s="544"/>
      <c r="Y201" s="185"/>
    </row>
    <row r="202" spans="10:25" x14ac:dyDescent="0.35">
      <c r="J202" s="544"/>
      <c r="K202" s="544"/>
      <c r="L202" s="544"/>
      <c r="M202" s="544"/>
      <c r="N202" s="544"/>
      <c r="O202" s="544"/>
      <c r="P202" s="544"/>
      <c r="Q202" s="544"/>
      <c r="R202" s="544"/>
      <c r="S202" s="544">
        <v>215</v>
      </c>
      <c r="T202" s="544">
        <v>150</v>
      </c>
      <c r="U202" s="544"/>
      <c r="V202" s="544"/>
      <c r="W202" s="544"/>
      <c r="X202" s="544"/>
      <c r="Y202" s="185"/>
    </row>
    <row r="203" spans="10:25" x14ac:dyDescent="0.35">
      <c r="J203" s="544"/>
      <c r="K203" s="544"/>
      <c r="L203" s="544"/>
      <c r="M203" s="544"/>
      <c r="N203" s="544"/>
      <c r="O203" s="544"/>
      <c r="P203" s="544"/>
      <c r="Q203" s="544"/>
      <c r="R203" s="544"/>
      <c r="S203" s="544">
        <v>216</v>
      </c>
      <c r="T203" s="544">
        <v>150</v>
      </c>
      <c r="U203" s="544"/>
      <c r="V203" s="544"/>
      <c r="W203" s="544"/>
      <c r="X203" s="544"/>
      <c r="Y203" s="185"/>
    </row>
    <row r="204" spans="10:25" x14ac:dyDescent="0.35">
      <c r="J204" s="544"/>
      <c r="K204" s="544"/>
      <c r="L204" s="544"/>
      <c r="M204" s="544"/>
      <c r="N204" s="544"/>
      <c r="O204" s="544"/>
      <c r="P204" s="544"/>
      <c r="Q204" s="544"/>
      <c r="R204" s="544"/>
      <c r="S204" s="544">
        <v>217</v>
      </c>
      <c r="T204" s="544">
        <v>150</v>
      </c>
      <c r="U204" s="544"/>
      <c r="V204" s="544"/>
      <c r="W204" s="544"/>
      <c r="X204" s="544"/>
      <c r="Y204" s="185"/>
    </row>
    <row r="205" spans="10:25" x14ac:dyDescent="0.35">
      <c r="J205" s="544"/>
      <c r="K205" s="544"/>
      <c r="L205" s="544"/>
      <c r="M205" s="544"/>
      <c r="N205" s="544"/>
      <c r="O205" s="544"/>
      <c r="P205" s="544"/>
      <c r="Q205" s="544"/>
      <c r="R205" s="544"/>
      <c r="S205" s="544">
        <v>218</v>
      </c>
      <c r="T205" s="544">
        <v>150</v>
      </c>
      <c r="U205" s="544"/>
      <c r="V205" s="544"/>
      <c r="W205" s="544"/>
      <c r="X205" s="544"/>
      <c r="Y205" s="185"/>
    </row>
    <row r="206" spans="10:25" x14ac:dyDescent="0.35">
      <c r="J206" s="544"/>
      <c r="K206" s="544"/>
      <c r="L206" s="544"/>
      <c r="M206" s="544"/>
      <c r="N206" s="544"/>
      <c r="O206" s="544"/>
      <c r="P206" s="544"/>
      <c r="Q206" s="544"/>
      <c r="R206" s="544"/>
      <c r="S206" s="544">
        <v>219</v>
      </c>
      <c r="T206" s="544">
        <v>150</v>
      </c>
      <c r="U206" s="544"/>
      <c r="V206" s="544"/>
      <c r="W206" s="544"/>
      <c r="X206" s="544"/>
      <c r="Y206" s="185"/>
    </row>
    <row r="207" spans="10:25" x14ac:dyDescent="0.35">
      <c r="J207" s="544"/>
      <c r="K207" s="544"/>
      <c r="L207" s="544"/>
      <c r="M207" s="544"/>
      <c r="N207" s="544"/>
      <c r="O207" s="544"/>
      <c r="P207" s="544"/>
      <c r="Q207" s="544"/>
      <c r="R207" s="544"/>
      <c r="S207" s="544">
        <v>220</v>
      </c>
      <c r="T207" s="544">
        <v>150</v>
      </c>
      <c r="U207" s="544"/>
      <c r="V207" s="544"/>
      <c r="W207" s="544"/>
      <c r="X207" s="544"/>
      <c r="Y207" s="185"/>
    </row>
    <row r="208" spans="10:25" x14ac:dyDescent="0.35">
      <c r="J208" s="544"/>
      <c r="K208" s="544"/>
      <c r="L208" s="544"/>
      <c r="M208" s="544"/>
      <c r="N208" s="544"/>
      <c r="O208" s="544"/>
      <c r="P208" s="544"/>
      <c r="Q208" s="544"/>
      <c r="R208" s="544"/>
      <c r="S208" s="544">
        <v>221</v>
      </c>
      <c r="T208" s="544">
        <v>150</v>
      </c>
      <c r="U208" s="544"/>
      <c r="V208" s="544"/>
      <c r="W208" s="544"/>
      <c r="X208" s="544"/>
      <c r="Y208" s="185"/>
    </row>
    <row r="209" spans="10:25" x14ac:dyDescent="0.35">
      <c r="J209" s="544"/>
      <c r="K209" s="544"/>
      <c r="L209" s="544"/>
      <c r="M209" s="544"/>
      <c r="N209" s="544"/>
      <c r="O209" s="544"/>
      <c r="P209" s="544"/>
      <c r="Q209" s="544"/>
      <c r="R209" s="544"/>
      <c r="S209" s="544">
        <v>222</v>
      </c>
      <c r="T209" s="544">
        <v>150</v>
      </c>
      <c r="U209" s="544"/>
      <c r="V209" s="544"/>
      <c r="W209" s="544"/>
      <c r="X209" s="544"/>
      <c r="Y209" s="185"/>
    </row>
    <row r="210" spans="10:25" x14ac:dyDescent="0.35">
      <c r="J210" s="544"/>
      <c r="K210" s="544"/>
      <c r="L210" s="544"/>
      <c r="M210" s="544"/>
      <c r="N210" s="544"/>
      <c r="O210" s="544"/>
      <c r="P210" s="544"/>
      <c r="Q210" s="544"/>
      <c r="R210" s="544"/>
      <c r="S210" s="544">
        <v>223</v>
      </c>
      <c r="T210" s="544">
        <v>150</v>
      </c>
      <c r="U210" s="544"/>
      <c r="V210" s="544"/>
      <c r="W210" s="544"/>
      <c r="X210" s="544"/>
      <c r="Y210" s="185"/>
    </row>
    <row r="211" spans="10:25" x14ac:dyDescent="0.35">
      <c r="J211" s="544"/>
      <c r="K211" s="544"/>
      <c r="L211" s="544"/>
      <c r="M211" s="544"/>
      <c r="N211" s="544"/>
      <c r="O211" s="544"/>
      <c r="P211" s="544"/>
      <c r="Q211" s="544"/>
      <c r="R211" s="544"/>
      <c r="S211" s="544">
        <v>224</v>
      </c>
      <c r="T211" s="544">
        <v>150</v>
      </c>
      <c r="U211" s="544"/>
      <c r="V211" s="544"/>
      <c r="W211" s="544"/>
      <c r="X211" s="544"/>
      <c r="Y211" s="185"/>
    </row>
    <row r="212" spans="10:25" x14ac:dyDescent="0.35">
      <c r="J212" s="544"/>
      <c r="K212" s="544"/>
      <c r="L212" s="544"/>
      <c r="M212" s="544"/>
      <c r="N212" s="544"/>
      <c r="O212" s="544"/>
      <c r="P212" s="544"/>
      <c r="Q212" s="544"/>
      <c r="R212" s="544"/>
      <c r="S212" s="544">
        <v>225</v>
      </c>
      <c r="T212" s="544">
        <v>150</v>
      </c>
      <c r="U212" s="544"/>
      <c r="V212" s="544"/>
      <c r="W212" s="544"/>
      <c r="X212" s="544"/>
      <c r="Y212" s="185"/>
    </row>
    <row r="213" spans="10:25" x14ac:dyDescent="0.35">
      <c r="J213" s="544"/>
      <c r="K213" s="544"/>
      <c r="L213" s="544"/>
      <c r="M213" s="544"/>
      <c r="N213" s="544"/>
      <c r="O213" s="544"/>
      <c r="P213" s="544"/>
      <c r="Q213" s="544"/>
      <c r="R213" s="544"/>
      <c r="S213" s="544">
        <v>226</v>
      </c>
      <c r="T213" s="544">
        <v>150</v>
      </c>
      <c r="U213" s="544"/>
      <c r="V213" s="544"/>
      <c r="W213" s="544"/>
      <c r="X213" s="544"/>
      <c r="Y213" s="185"/>
    </row>
    <row r="214" spans="10:25" x14ac:dyDescent="0.35">
      <c r="J214" s="544"/>
      <c r="K214" s="544"/>
      <c r="L214" s="544"/>
      <c r="M214" s="544"/>
      <c r="N214" s="544"/>
      <c r="O214" s="544"/>
      <c r="P214" s="544"/>
      <c r="Q214" s="544"/>
      <c r="R214" s="544"/>
      <c r="S214" s="544">
        <v>227</v>
      </c>
      <c r="T214" s="544">
        <v>150</v>
      </c>
      <c r="U214" s="544"/>
      <c r="V214" s="544"/>
      <c r="W214" s="544"/>
      <c r="X214" s="544"/>
      <c r="Y214" s="185"/>
    </row>
    <row r="215" spans="10:25" x14ac:dyDescent="0.35">
      <c r="J215" s="544"/>
      <c r="K215" s="544"/>
      <c r="L215" s="544"/>
      <c r="M215" s="544"/>
      <c r="N215" s="544"/>
      <c r="O215" s="544"/>
      <c r="P215" s="544"/>
      <c r="Q215" s="544"/>
      <c r="R215" s="544"/>
      <c r="S215" s="544">
        <v>228</v>
      </c>
      <c r="T215" s="544">
        <v>150</v>
      </c>
      <c r="U215" s="544"/>
      <c r="V215" s="544"/>
      <c r="W215" s="544"/>
      <c r="X215" s="544"/>
      <c r="Y215" s="185"/>
    </row>
    <row r="216" spans="10:25" x14ac:dyDescent="0.35">
      <c r="J216" s="544"/>
      <c r="K216" s="544"/>
      <c r="L216" s="544"/>
      <c r="M216" s="544"/>
      <c r="N216" s="544"/>
      <c r="O216" s="544"/>
      <c r="P216" s="544"/>
      <c r="Q216" s="544"/>
      <c r="R216" s="544"/>
      <c r="S216" s="544">
        <v>229</v>
      </c>
      <c r="T216" s="544">
        <v>150</v>
      </c>
      <c r="U216" s="544"/>
      <c r="V216" s="544"/>
      <c r="W216" s="544"/>
      <c r="X216" s="544"/>
      <c r="Y216" s="185"/>
    </row>
    <row r="217" spans="10:25" x14ac:dyDescent="0.35">
      <c r="J217" s="544"/>
      <c r="K217" s="544"/>
      <c r="L217" s="544"/>
      <c r="M217" s="544"/>
      <c r="N217" s="544"/>
      <c r="O217" s="544"/>
      <c r="P217" s="544"/>
      <c r="Q217" s="544"/>
      <c r="R217" s="544"/>
      <c r="S217" s="544">
        <v>230</v>
      </c>
      <c r="T217" s="544">
        <v>150</v>
      </c>
      <c r="U217" s="544"/>
      <c r="V217" s="544"/>
      <c r="W217" s="544"/>
      <c r="X217" s="544"/>
      <c r="Y217" s="185"/>
    </row>
    <row r="218" spans="10:25" x14ac:dyDescent="0.35">
      <c r="J218" s="544"/>
      <c r="K218" s="544"/>
      <c r="L218" s="544"/>
      <c r="M218" s="544"/>
      <c r="N218" s="544"/>
      <c r="O218" s="544"/>
      <c r="P218" s="544"/>
      <c r="Q218" s="544"/>
      <c r="R218" s="544"/>
      <c r="S218" s="544">
        <v>231</v>
      </c>
      <c r="T218" s="544">
        <v>150</v>
      </c>
      <c r="U218" s="544"/>
      <c r="V218" s="544"/>
      <c r="W218" s="544"/>
      <c r="X218" s="544"/>
      <c r="Y218" s="185"/>
    </row>
    <row r="219" spans="10:25" x14ac:dyDescent="0.35">
      <c r="J219" s="544"/>
      <c r="K219" s="544"/>
      <c r="L219" s="544"/>
      <c r="M219" s="544"/>
      <c r="N219" s="544"/>
      <c r="O219" s="544"/>
      <c r="P219" s="544"/>
      <c r="Q219" s="544"/>
      <c r="R219" s="544"/>
      <c r="S219" s="544">
        <v>232</v>
      </c>
      <c r="T219" s="544">
        <v>150</v>
      </c>
      <c r="U219" s="544"/>
      <c r="V219" s="544"/>
      <c r="W219" s="544"/>
      <c r="X219" s="544"/>
      <c r="Y219" s="185"/>
    </row>
    <row r="220" spans="10:25" x14ac:dyDescent="0.35">
      <c r="J220" s="544"/>
      <c r="K220" s="544"/>
      <c r="L220" s="544"/>
      <c r="M220" s="544"/>
      <c r="N220" s="544"/>
      <c r="O220" s="544"/>
      <c r="P220" s="544"/>
      <c r="Q220" s="544"/>
      <c r="R220" s="544"/>
      <c r="S220" s="544">
        <v>233</v>
      </c>
      <c r="T220" s="544">
        <v>150</v>
      </c>
      <c r="U220" s="544"/>
      <c r="V220" s="544"/>
      <c r="W220" s="544"/>
      <c r="X220" s="544"/>
      <c r="Y220" s="185"/>
    </row>
    <row r="221" spans="10:25" x14ac:dyDescent="0.35">
      <c r="J221" s="544"/>
      <c r="K221" s="544"/>
      <c r="L221" s="544"/>
      <c r="M221" s="544"/>
      <c r="N221" s="544"/>
      <c r="O221" s="544"/>
      <c r="P221" s="544"/>
      <c r="Q221" s="544"/>
      <c r="R221" s="544"/>
      <c r="S221" s="544">
        <v>234</v>
      </c>
      <c r="T221" s="544">
        <v>150</v>
      </c>
      <c r="U221" s="544"/>
      <c r="V221" s="544"/>
      <c r="W221" s="544"/>
      <c r="X221" s="544"/>
      <c r="Y221" s="185"/>
    </row>
    <row r="222" spans="10:25" x14ac:dyDescent="0.35">
      <c r="J222" s="544"/>
      <c r="K222" s="544"/>
      <c r="L222" s="544"/>
      <c r="M222" s="544"/>
      <c r="N222" s="544"/>
      <c r="O222" s="544"/>
      <c r="P222" s="544"/>
      <c r="Q222" s="544"/>
      <c r="R222" s="544"/>
      <c r="S222" s="544">
        <v>235</v>
      </c>
      <c r="T222" s="544">
        <v>150</v>
      </c>
      <c r="U222" s="544"/>
      <c r="V222" s="544"/>
      <c r="W222" s="544"/>
      <c r="X222" s="544"/>
      <c r="Y222" s="185"/>
    </row>
    <row r="223" spans="10:25" x14ac:dyDescent="0.35">
      <c r="J223" s="544"/>
      <c r="K223" s="544"/>
      <c r="L223" s="544"/>
      <c r="M223" s="544"/>
      <c r="N223" s="544"/>
      <c r="O223" s="544"/>
      <c r="P223" s="544"/>
      <c r="Q223" s="544"/>
      <c r="R223" s="544"/>
      <c r="S223" s="544">
        <v>236</v>
      </c>
      <c r="T223" s="544">
        <v>150</v>
      </c>
      <c r="U223" s="544"/>
      <c r="V223" s="544"/>
      <c r="W223" s="544"/>
      <c r="X223" s="544"/>
      <c r="Y223" s="185"/>
    </row>
    <row r="224" spans="10:25" x14ac:dyDescent="0.35">
      <c r="J224" s="544"/>
      <c r="K224" s="544"/>
      <c r="L224" s="544"/>
      <c r="M224" s="544"/>
      <c r="N224" s="544"/>
      <c r="O224" s="544"/>
      <c r="P224" s="544"/>
      <c r="Q224" s="544"/>
      <c r="R224" s="544"/>
      <c r="S224" s="544">
        <v>237</v>
      </c>
      <c r="T224" s="544">
        <v>150</v>
      </c>
      <c r="U224" s="544"/>
      <c r="V224" s="544"/>
      <c r="W224" s="544"/>
      <c r="X224" s="544"/>
      <c r="Y224" s="185"/>
    </row>
    <row r="225" spans="10:25" x14ac:dyDescent="0.35">
      <c r="J225" s="544"/>
      <c r="K225" s="544"/>
      <c r="L225" s="544"/>
      <c r="M225" s="544"/>
      <c r="N225" s="544"/>
      <c r="O225" s="544"/>
      <c r="P225" s="544"/>
      <c r="Q225" s="544"/>
      <c r="R225" s="544"/>
      <c r="S225" s="544">
        <v>238</v>
      </c>
      <c r="T225" s="544">
        <v>150</v>
      </c>
      <c r="U225" s="544"/>
      <c r="V225" s="544"/>
      <c r="W225" s="544"/>
      <c r="X225" s="544"/>
      <c r="Y225" s="185"/>
    </row>
    <row r="226" spans="10:25" x14ac:dyDescent="0.35">
      <c r="J226" s="544"/>
      <c r="K226" s="544"/>
      <c r="L226" s="544"/>
      <c r="M226" s="544"/>
      <c r="N226" s="544"/>
      <c r="O226" s="544"/>
      <c r="P226" s="544"/>
      <c r="Q226" s="544"/>
      <c r="R226" s="544"/>
      <c r="S226" s="544">
        <v>239</v>
      </c>
      <c r="T226" s="544">
        <v>150</v>
      </c>
      <c r="U226" s="544"/>
      <c r="V226" s="544"/>
      <c r="W226" s="544"/>
      <c r="X226" s="544"/>
      <c r="Y226" s="185"/>
    </row>
    <row r="227" spans="10:25" x14ac:dyDescent="0.35">
      <c r="J227" s="544"/>
      <c r="K227" s="544"/>
      <c r="L227" s="544"/>
      <c r="M227" s="544"/>
      <c r="N227" s="544"/>
      <c r="O227" s="544"/>
      <c r="P227" s="544"/>
      <c r="Q227" s="544"/>
      <c r="R227" s="544"/>
      <c r="S227" s="544">
        <v>240</v>
      </c>
      <c r="T227" s="544">
        <v>150</v>
      </c>
      <c r="U227" s="544"/>
      <c r="V227" s="544"/>
      <c r="W227" s="544"/>
      <c r="X227" s="544"/>
      <c r="Y227" s="185"/>
    </row>
    <row r="228" spans="10:25" x14ac:dyDescent="0.35">
      <c r="J228" s="544"/>
      <c r="K228" s="544"/>
      <c r="L228" s="544"/>
      <c r="M228" s="544"/>
      <c r="N228" s="544"/>
      <c r="O228" s="544"/>
      <c r="P228" s="544"/>
      <c r="Q228" s="544"/>
      <c r="R228" s="544"/>
      <c r="S228" s="544">
        <v>241</v>
      </c>
      <c r="T228" s="544">
        <v>150</v>
      </c>
      <c r="U228" s="544"/>
      <c r="V228" s="544"/>
      <c r="W228" s="544"/>
      <c r="X228" s="544"/>
      <c r="Y228" s="185"/>
    </row>
    <row r="229" spans="10:25" x14ac:dyDescent="0.35">
      <c r="J229" s="544"/>
      <c r="K229" s="544"/>
      <c r="L229" s="544"/>
      <c r="M229" s="544"/>
      <c r="N229" s="544"/>
      <c r="O229" s="544"/>
      <c r="P229" s="544"/>
      <c r="Q229" s="544"/>
      <c r="R229" s="544"/>
      <c r="S229" s="544">
        <v>242</v>
      </c>
      <c r="T229" s="544">
        <v>150</v>
      </c>
      <c r="U229" s="544"/>
      <c r="V229" s="544"/>
      <c r="W229" s="544"/>
      <c r="X229" s="544"/>
      <c r="Y229" s="185"/>
    </row>
    <row r="230" spans="10:25" x14ac:dyDescent="0.35">
      <c r="J230" s="544"/>
      <c r="K230" s="544"/>
      <c r="L230" s="544"/>
      <c r="M230" s="544"/>
      <c r="N230" s="544"/>
      <c r="O230" s="544"/>
      <c r="P230" s="544"/>
      <c r="Q230" s="544"/>
      <c r="R230" s="544"/>
      <c r="S230" s="544">
        <v>243</v>
      </c>
      <c r="T230" s="544">
        <v>150</v>
      </c>
      <c r="U230" s="544"/>
      <c r="V230" s="544"/>
      <c r="W230" s="544"/>
      <c r="X230" s="544"/>
      <c r="Y230" s="185"/>
    </row>
    <row r="231" spans="10:25" x14ac:dyDescent="0.35">
      <c r="J231" s="544"/>
      <c r="K231" s="544"/>
      <c r="L231" s="544"/>
      <c r="M231" s="544"/>
      <c r="N231" s="544"/>
      <c r="O231" s="544"/>
      <c r="P231" s="544"/>
      <c r="Q231" s="544"/>
      <c r="R231" s="544"/>
      <c r="S231" s="544">
        <v>244</v>
      </c>
      <c r="T231" s="544">
        <v>150</v>
      </c>
      <c r="U231" s="544"/>
      <c r="V231" s="544"/>
      <c r="W231" s="544"/>
      <c r="X231" s="544"/>
      <c r="Y231" s="185"/>
    </row>
    <row r="232" spans="10:25" x14ac:dyDescent="0.35">
      <c r="J232" s="544"/>
      <c r="K232" s="544"/>
      <c r="L232" s="544"/>
      <c r="M232" s="544"/>
      <c r="N232" s="544"/>
      <c r="O232" s="544"/>
      <c r="P232" s="544"/>
      <c r="Q232" s="544"/>
      <c r="R232" s="544"/>
      <c r="S232" s="544">
        <v>245</v>
      </c>
      <c r="T232" s="544">
        <v>150</v>
      </c>
      <c r="U232" s="544"/>
      <c r="V232" s="544"/>
      <c r="W232" s="544"/>
      <c r="X232" s="544"/>
      <c r="Y232" s="185"/>
    </row>
    <row r="233" spans="10:25" x14ac:dyDescent="0.35">
      <c r="J233" s="544"/>
      <c r="K233" s="544"/>
      <c r="L233" s="544"/>
      <c r="M233" s="544"/>
      <c r="N233" s="544"/>
      <c r="O233" s="544"/>
      <c r="P233" s="544"/>
      <c r="Q233" s="544"/>
      <c r="R233" s="544"/>
      <c r="S233" s="544">
        <v>246</v>
      </c>
      <c r="T233" s="544">
        <v>150</v>
      </c>
      <c r="U233" s="544"/>
      <c r="V233" s="544"/>
      <c r="W233" s="544"/>
      <c r="X233" s="544"/>
      <c r="Y233" s="185"/>
    </row>
    <row r="234" spans="10:25" x14ac:dyDescent="0.35">
      <c r="J234" s="544"/>
      <c r="K234" s="544"/>
      <c r="L234" s="544"/>
      <c r="M234" s="544"/>
      <c r="N234" s="544"/>
      <c r="O234" s="544"/>
      <c r="P234" s="544"/>
      <c r="Q234" s="544"/>
      <c r="R234" s="544"/>
      <c r="S234" s="544">
        <v>247</v>
      </c>
      <c r="T234" s="544">
        <v>150</v>
      </c>
      <c r="U234" s="544"/>
      <c r="V234" s="544"/>
      <c r="W234" s="544"/>
      <c r="X234" s="544"/>
      <c r="Y234" s="185"/>
    </row>
    <row r="235" spans="10:25" x14ac:dyDescent="0.35">
      <c r="J235" s="544"/>
      <c r="K235" s="544"/>
      <c r="L235" s="544"/>
      <c r="M235" s="544"/>
      <c r="N235" s="544"/>
      <c r="O235" s="544"/>
      <c r="P235" s="544"/>
      <c r="Q235" s="544"/>
      <c r="R235" s="544"/>
      <c r="S235" s="544">
        <v>248</v>
      </c>
      <c r="T235" s="544">
        <v>150</v>
      </c>
      <c r="U235" s="544"/>
      <c r="V235" s="544"/>
      <c r="W235" s="544"/>
      <c r="X235" s="544"/>
      <c r="Y235" s="185"/>
    </row>
    <row r="236" spans="10:25" x14ac:dyDescent="0.35">
      <c r="J236" s="544"/>
      <c r="K236" s="544"/>
      <c r="L236" s="544"/>
      <c r="M236" s="544"/>
      <c r="N236" s="544"/>
      <c r="O236" s="544"/>
      <c r="P236" s="544"/>
      <c r="Q236" s="544"/>
      <c r="R236" s="544"/>
      <c r="S236" s="544">
        <v>249</v>
      </c>
      <c r="T236" s="544">
        <v>150</v>
      </c>
      <c r="U236" s="544"/>
      <c r="V236" s="544"/>
      <c r="W236" s="544"/>
      <c r="X236" s="544"/>
      <c r="Y236" s="185"/>
    </row>
    <row r="237" spans="10:25" x14ac:dyDescent="0.35">
      <c r="J237" s="544"/>
      <c r="K237" s="544"/>
      <c r="L237" s="544"/>
      <c r="M237" s="544"/>
      <c r="N237" s="544"/>
      <c r="O237" s="544"/>
      <c r="P237" s="544"/>
      <c r="Q237" s="544"/>
      <c r="R237" s="544"/>
      <c r="S237" s="544">
        <v>250</v>
      </c>
      <c r="T237" s="544">
        <v>150</v>
      </c>
      <c r="U237" s="544"/>
      <c r="V237" s="544"/>
      <c r="W237" s="544"/>
      <c r="X237" s="544"/>
      <c r="Y237" s="185"/>
    </row>
    <row r="238" spans="10:25" x14ac:dyDescent="0.35">
      <c r="J238" s="544"/>
      <c r="K238" s="544"/>
      <c r="L238" s="544"/>
      <c r="M238" s="544"/>
      <c r="N238" s="544"/>
      <c r="O238" s="544"/>
      <c r="P238" s="544"/>
      <c r="Q238" s="544"/>
      <c r="R238" s="544"/>
      <c r="S238" s="544">
        <v>251</v>
      </c>
      <c r="T238" s="544">
        <v>150</v>
      </c>
      <c r="U238" s="544"/>
      <c r="V238" s="544"/>
      <c r="W238" s="544"/>
      <c r="X238" s="544"/>
      <c r="Y238" s="185"/>
    </row>
    <row r="239" spans="10:25" x14ac:dyDescent="0.35">
      <c r="J239" s="544"/>
      <c r="K239" s="544"/>
      <c r="L239" s="544"/>
      <c r="M239" s="544"/>
      <c r="N239" s="544"/>
      <c r="O239" s="544"/>
      <c r="P239" s="544"/>
      <c r="Q239" s="544"/>
      <c r="R239" s="544"/>
      <c r="S239" s="544">
        <v>252</v>
      </c>
      <c r="T239" s="544">
        <v>150</v>
      </c>
      <c r="U239" s="544"/>
      <c r="V239" s="544"/>
      <c r="W239" s="544"/>
      <c r="X239" s="544"/>
      <c r="Y239" s="185"/>
    </row>
    <row r="240" spans="10:25" x14ac:dyDescent="0.35">
      <c r="J240" s="544"/>
      <c r="K240" s="544"/>
      <c r="L240" s="544"/>
      <c r="M240" s="544"/>
      <c r="N240" s="544"/>
      <c r="O240" s="544"/>
      <c r="P240" s="544"/>
      <c r="Q240" s="544"/>
      <c r="R240" s="544"/>
      <c r="S240" s="544">
        <v>253</v>
      </c>
      <c r="T240" s="544">
        <v>150</v>
      </c>
      <c r="U240" s="544"/>
      <c r="V240" s="544"/>
      <c r="W240" s="544"/>
      <c r="X240" s="544"/>
      <c r="Y240" s="185"/>
    </row>
    <row r="241" spans="10:25" x14ac:dyDescent="0.35">
      <c r="J241" s="544"/>
      <c r="K241" s="544"/>
      <c r="L241" s="544"/>
      <c r="M241" s="544"/>
      <c r="N241" s="544"/>
      <c r="O241" s="544"/>
      <c r="P241" s="544"/>
      <c r="Q241" s="544"/>
      <c r="R241" s="544"/>
      <c r="S241" s="544">
        <v>254</v>
      </c>
      <c r="T241" s="544">
        <v>150</v>
      </c>
      <c r="U241" s="544"/>
      <c r="V241" s="544"/>
      <c r="W241" s="544"/>
      <c r="X241" s="544"/>
      <c r="Y241" s="185"/>
    </row>
    <row r="242" spans="10:25" x14ac:dyDescent="0.35">
      <c r="J242" s="544"/>
      <c r="K242" s="544"/>
      <c r="L242" s="544"/>
      <c r="M242" s="544"/>
      <c r="N242" s="544"/>
      <c r="O242" s="544"/>
      <c r="P242" s="544"/>
      <c r="Q242" s="544"/>
      <c r="R242" s="544"/>
      <c r="S242" s="544">
        <v>255</v>
      </c>
      <c r="T242" s="544">
        <v>150</v>
      </c>
      <c r="U242" s="544"/>
      <c r="V242" s="544"/>
      <c r="W242" s="544"/>
      <c r="X242" s="544"/>
      <c r="Y242" s="185"/>
    </row>
    <row r="243" spans="10:25" x14ac:dyDescent="0.35">
      <c r="J243" s="544"/>
      <c r="K243" s="544"/>
      <c r="L243" s="544"/>
      <c r="M243" s="544"/>
      <c r="N243" s="544"/>
      <c r="O243" s="544"/>
      <c r="P243" s="544"/>
      <c r="Q243" s="544"/>
      <c r="R243" s="544"/>
      <c r="S243" s="544">
        <v>256</v>
      </c>
      <c r="T243" s="544">
        <v>150</v>
      </c>
      <c r="U243" s="544"/>
      <c r="V243" s="544"/>
      <c r="W243" s="544"/>
      <c r="X243" s="544"/>
      <c r="Y243" s="185"/>
    </row>
    <row r="244" spans="10:25" x14ac:dyDescent="0.35">
      <c r="J244" s="544"/>
      <c r="K244" s="544"/>
      <c r="L244" s="544"/>
      <c r="M244" s="544"/>
      <c r="N244" s="544"/>
      <c r="O244" s="544"/>
      <c r="P244" s="544"/>
      <c r="Q244" s="544"/>
      <c r="R244" s="544"/>
      <c r="S244" s="544">
        <v>257</v>
      </c>
      <c r="T244" s="544">
        <v>150</v>
      </c>
      <c r="U244" s="544"/>
      <c r="V244" s="544"/>
      <c r="W244" s="544"/>
      <c r="X244" s="544"/>
      <c r="Y244" s="185"/>
    </row>
    <row r="245" spans="10:25" x14ac:dyDescent="0.35">
      <c r="J245" s="544"/>
      <c r="K245" s="544"/>
      <c r="L245" s="544"/>
      <c r="M245" s="544"/>
      <c r="N245" s="544"/>
      <c r="O245" s="544"/>
      <c r="P245" s="544"/>
      <c r="Q245" s="544"/>
      <c r="R245" s="544"/>
      <c r="S245" s="544">
        <v>258</v>
      </c>
      <c r="T245" s="544">
        <v>150</v>
      </c>
      <c r="U245" s="544"/>
      <c r="V245" s="544"/>
      <c r="W245" s="544"/>
      <c r="X245" s="544"/>
      <c r="Y245" s="185"/>
    </row>
    <row r="246" spans="10:25" x14ac:dyDescent="0.35">
      <c r="J246" s="544"/>
      <c r="K246" s="544"/>
      <c r="L246" s="544"/>
      <c r="M246" s="544"/>
      <c r="N246" s="544"/>
      <c r="O246" s="544"/>
      <c r="P246" s="544"/>
      <c r="Q246" s="544"/>
      <c r="R246" s="544"/>
      <c r="S246" s="544">
        <v>259</v>
      </c>
      <c r="T246" s="544">
        <v>150</v>
      </c>
      <c r="U246" s="544"/>
      <c r="V246" s="544"/>
      <c r="W246" s="544"/>
      <c r="X246" s="544"/>
      <c r="Y246" s="185"/>
    </row>
    <row r="247" spans="10:25" x14ac:dyDescent="0.35">
      <c r="J247" s="544"/>
      <c r="K247" s="544"/>
      <c r="L247" s="544"/>
      <c r="M247" s="544"/>
      <c r="N247" s="544"/>
      <c r="O247" s="544"/>
      <c r="P247" s="544"/>
      <c r="Q247" s="544"/>
      <c r="R247" s="544"/>
      <c r="S247" s="544">
        <v>260</v>
      </c>
      <c r="T247" s="544">
        <v>150</v>
      </c>
      <c r="U247" s="544"/>
      <c r="V247" s="544"/>
      <c r="W247" s="544"/>
      <c r="X247" s="544"/>
      <c r="Y247" s="185"/>
    </row>
    <row r="248" spans="10:25" x14ac:dyDescent="0.35">
      <c r="J248" s="544"/>
      <c r="K248" s="544"/>
      <c r="L248" s="544"/>
      <c r="M248" s="544"/>
      <c r="N248" s="544"/>
      <c r="O248" s="544"/>
      <c r="P248" s="544"/>
      <c r="Q248" s="544"/>
      <c r="R248" s="544"/>
      <c r="S248" s="544">
        <v>261</v>
      </c>
      <c r="T248" s="544">
        <v>150</v>
      </c>
      <c r="U248" s="544"/>
      <c r="V248" s="544"/>
      <c r="W248" s="544"/>
      <c r="X248" s="544"/>
      <c r="Y248" s="185"/>
    </row>
    <row r="249" spans="10:25" x14ac:dyDescent="0.35">
      <c r="J249" s="544"/>
      <c r="K249" s="544"/>
      <c r="L249" s="544"/>
      <c r="M249" s="544"/>
      <c r="N249" s="544"/>
      <c r="O249" s="544"/>
      <c r="P249" s="544"/>
      <c r="Q249" s="544"/>
      <c r="R249" s="544"/>
      <c r="S249" s="544">
        <v>262</v>
      </c>
      <c r="T249" s="544">
        <v>150</v>
      </c>
      <c r="U249" s="544"/>
      <c r="V249" s="544"/>
      <c r="W249" s="544"/>
      <c r="X249" s="544"/>
      <c r="Y249" s="185"/>
    </row>
    <row r="250" spans="10:25" x14ac:dyDescent="0.35">
      <c r="J250" s="544"/>
      <c r="K250" s="544"/>
      <c r="L250" s="544"/>
      <c r="M250" s="544"/>
      <c r="N250" s="544"/>
      <c r="O250" s="544"/>
      <c r="P250" s="544"/>
      <c r="Q250" s="544"/>
      <c r="R250" s="544"/>
      <c r="S250" s="544">
        <v>263</v>
      </c>
      <c r="T250" s="544">
        <v>150</v>
      </c>
      <c r="U250" s="544"/>
      <c r="V250" s="544"/>
      <c r="W250" s="544"/>
      <c r="X250" s="544"/>
      <c r="Y250" s="185"/>
    </row>
    <row r="251" spans="10:25" x14ac:dyDescent="0.35">
      <c r="J251" s="544"/>
      <c r="K251" s="544"/>
      <c r="L251" s="544"/>
      <c r="M251" s="544"/>
      <c r="N251" s="544"/>
      <c r="O251" s="544"/>
      <c r="P251" s="544"/>
      <c r="Q251" s="544"/>
      <c r="R251" s="544"/>
      <c r="S251" s="544">
        <v>264</v>
      </c>
      <c r="T251" s="544">
        <v>150</v>
      </c>
      <c r="U251" s="544"/>
      <c r="V251" s="544"/>
      <c r="W251" s="544"/>
      <c r="X251" s="544"/>
      <c r="Y251" s="185"/>
    </row>
    <row r="252" spans="10:25" x14ac:dyDescent="0.35">
      <c r="J252" s="544"/>
      <c r="K252" s="544"/>
      <c r="L252" s="544"/>
      <c r="M252" s="544"/>
      <c r="N252" s="544"/>
      <c r="O252" s="544"/>
      <c r="P252" s="544"/>
      <c r="Q252" s="544"/>
      <c r="R252" s="544"/>
      <c r="S252" s="544">
        <v>265</v>
      </c>
      <c r="T252" s="544">
        <v>150</v>
      </c>
      <c r="U252" s="544"/>
      <c r="V252" s="544"/>
      <c r="W252" s="544"/>
      <c r="X252" s="544"/>
      <c r="Y252" s="185"/>
    </row>
    <row r="253" spans="10:25" x14ac:dyDescent="0.35">
      <c r="J253" s="544"/>
      <c r="K253" s="544"/>
      <c r="L253" s="544"/>
      <c r="M253" s="544"/>
      <c r="N253" s="544"/>
      <c r="O253" s="544"/>
      <c r="P253" s="544"/>
      <c r="Q253" s="544"/>
      <c r="R253" s="544"/>
      <c r="S253" s="544">
        <v>266</v>
      </c>
      <c r="T253" s="544">
        <v>150</v>
      </c>
      <c r="U253" s="544"/>
      <c r="V253" s="544"/>
      <c r="W253" s="544"/>
      <c r="X253" s="544"/>
      <c r="Y253" s="185"/>
    </row>
    <row r="254" spans="10:25" x14ac:dyDescent="0.35">
      <c r="J254" s="544"/>
      <c r="K254" s="544"/>
      <c r="L254" s="544"/>
      <c r="M254" s="544"/>
      <c r="N254" s="544"/>
      <c r="O254" s="544"/>
      <c r="P254" s="544"/>
      <c r="Q254" s="544"/>
      <c r="R254" s="544"/>
      <c r="S254" s="544">
        <v>267</v>
      </c>
      <c r="T254" s="544">
        <v>150</v>
      </c>
      <c r="U254" s="544"/>
      <c r="V254" s="544"/>
      <c r="W254" s="544"/>
      <c r="X254" s="544"/>
      <c r="Y254" s="185"/>
    </row>
    <row r="255" spans="10:25" x14ac:dyDescent="0.35">
      <c r="J255" s="544"/>
      <c r="K255" s="544"/>
      <c r="L255" s="544"/>
      <c r="M255" s="544"/>
      <c r="N255" s="544"/>
      <c r="O255" s="544"/>
      <c r="P255" s="544"/>
      <c r="Q255" s="544"/>
      <c r="R255" s="544"/>
      <c r="S255" s="544">
        <v>268</v>
      </c>
      <c r="T255" s="544">
        <v>150</v>
      </c>
      <c r="U255" s="544"/>
      <c r="V255" s="544"/>
      <c r="W255" s="544"/>
      <c r="X255" s="544"/>
      <c r="Y255" s="185"/>
    </row>
    <row r="256" spans="10:25" x14ac:dyDescent="0.35">
      <c r="J256" s="544"/>
      <c r="K256" s="544"/>
      <c r="L256" s="544"/>
      <c r="M256" s="544"/>
      <c r="N256" s="544"/>
      <c r="O256" s="544"/>
      <c r="P256" s="544"/>
      <c r="Q256" s="544"/>
      <c r="R256" s="544"/>
      <c r="S256" s="544">
        <v>269</v>
      </c>
      <c r="T256" s="544">
        <v>150</v>
      </c>
      <c r="U256" s="544"/>
      <c r="V256" s="544"/>
      <c r="W256" s="544"/>
      <c r="X256" s="544"/>
      <c r="Y256" s="185"/>
    </row>
    <row r="257" spans="10:25" x14ac:dyDescent="0.35">
      <c r="J257" s="544"/>
      <c r="K257" s="544"/>
      <c r="L257" s="544"/>
      <c r="M257" s="544"/>
      <c r="N257" s="544"/>
      <c r="O257" s="544"/>
      <c r="P257" s="544"/>
      <c r="Q257" s="544"/>
      <c r="R257" s="544"/>
      <c r="S257" s="544">
        <v>270</v>
      </c>
      <c r="T257" s="544">
        <v>150</v>
      </c>
      <c r="U257" s="544"/>
      <c r="V257" s="544"/>
      <c r="W257" s="544"/>
      <c r="X257" s="544"/>
      <c r="Y257" s="185"/>
    </row>
    <row r="258" spans="10:25" x14ac:dyDescent="0.35">
      <c r="J258" s="544"/>
      <c r="K258" s="544"/>
      <c r="L258" s="544"/>
      <c r="M258" s="544"/>
      <c r="N258" s="544"/>
      <c r="O258" s="544"/>
      <c r="P258" s="544"/>
      <c r="Q258" s="544"/>
      <c r="R258" s="544"/>
      <c r="S258" s="544">
        <v>271</v>
      </c>
      <c r="T258" s="544">
        <v>150</v>
      </c>
      <c r="U258" s="544"/>
      <c r="V258" s="544"/>
      <c r="W258" s="544"/>
      <c r="X258" s="544"/>
      <c r="Y258" s="185"/>
    </row>
    <row r="259" spans="10:25" x14ac:dyDescent="0.35">
      <c r="J259" s="544"/>
      <c r="K259" s="544"/>
      <c r="L259" s="544"/>
      <c r="M259" s="544"/>
      <c r="N259" s="544"/>
      <c r="O259" s="544"/>
      <c r="P259" s="544"/>
      <c r="Q259" s="544"/>
      <c r="R259" s="544"/>
      <c r="S259" s="544">
        <v>272</v>
      </c>
      <c r="T259" s="544">
        <v>150</v>
      </c>
      <c r="U259" s="544"/>
      <c r="V259" s="544"/>
      <c r="W259" s="544"/>
      <c r="X259" s="544"/>
      <c r="Y259" s="185"/>
    </row>
    <row r="260" spans="10:25" x14ac:dyDescent="0.35">
      <c r="J260" s="544"/>
      <c r="K260" s="544"/>
      <c r="L260" s="544"/>
      <c r="M260" s="544"/>
      <c r="N260" s="544"/>
      <c r="O260" s="544"/>
      <c r="P260" s="544"/>
      <c r="Q260" s="544"/>
      <c r="R260" s="544"/>
      <c r="S260" s="544">
        <v>273</v>
      </c>
      <c r="T260" s="544">
        <v>150</v>
      </c>
      <c r="U260" s="544"/>
      <c r="V260" s="544"/>
      <c r="W260" s="544"/>
      <c r="X260" s="544"/>
      <c r="Y260" s="185"/>
    </row>
    <row r="261" spans="10:25" x14ac:dyDescent="0.35">
      <c r="J261" s="544"/>
      <c r="K261" s="544"/>
      <c r="L261" s="544"/>
      <c r="M261" s="544"/>
      <c r="N261" s="544"/>
      <c r="O261" s="544"/>
      <c r="P261" s="544"/>
      <c r="Q261" s="544"/>
      <c r="R261" s="544"/>
      <c r="S261" s="544">
        <v>274</v>
      </c>
      <c r="T261" s="544">
        <v>150</v>
      </c>
      <c r="U261" s="544"/>
      <c r="V261" s="544"/>
      <c r="W261" s="544"/>
      <c r="X261" s="544"/>
      <c r="Y261" s="185"/>
    </row>
    <row r="262" spans="10:25" x14ac:dyDescent="0.35">
      <c r="J262" s="544"/>
      <c r="K262" s="544"/>
      <c r="L262" s="544"/>
      <c r="M262" s="544"/>
      <c r="N262" s="544"/>
      <c r="O262" s="544"/>
      <c r="P262" s="544"/>
      <c r="Q262" s="544"/>
      <c r="R262" s="544"/>
      <c r="S262" s="544">
        <v>275</v>
      </c>
      <c r="T262" s="544">
        <v>150</v>
      </c>
      <c r="U262" s="544"/>
      <c r="V262" s="544"/>
      <c r="W262" s="544"/>
      <c r="X262" s="544"/>
      <c r="Y262" s="185"/>
    </row>
    <row r="263" spans="10:25" x14ac:dyDescent="0.35">
      <c r="J263" s="544"/>
      <c r="K263" s="544"/>
      <c r="L263" s="544"/>
      <c r="M263" s="544"/>
      <c r="N263" s="544"/>
      <c r="O263" s="544"/>
      <c r="P263" s="544"/>
      <c r="Q263" s="544"/>
      <c r="R263" s="544"/>
      <c r="S263" s="544">
        <v>276</v>
      </c>
      <c r="T263" s="544">
        <v>150</v>
      </c>
      <c r="U263" s="544"/>
      <c r="V263" s="544"/>
      <c r="W263" s="544"/>
      <c r="X263" s="544"/>
      <c r="Y263" s="185"/>
    </row>
    <row r="264" spans="10:25" x14ac:dyDescent="0.35">
      <c r="J264" s="544"/>
      <c r="K264" s="544"/>
      <c r="L264" s="544"/>
      <c r="M264" s="544"/>
      <c r="N264" s="544"/>
      <c r="O264" s="544"/>
      <c r="P264" s="544"/>
      <c r="Q264" s="544"/>
      <c r="R264" s="544"/>
      <c r="S264" s="544">
        <v>277</v>
      </c>
      <c r="T264" s="544">
        <v>150</v>
      </c>
      <c r="U264" s="544"/>
      <c r="V264" s="544"/>
      <c r="W264" s="544"/>
      <c r="X264" s="544"/>
      <c r="Y264" s="185"/>
    </row>
    <row r="265" spans="10:25" x14ac:dyDescent="0.35">
      <c r="J265" s="544"/>
      <c r="K265" s="544"/>
      <c r="L265" s="544"/>
      <c r="M265" s="544"/>
      <c r="N265" s="544"/>
      <c r="O265" s="544"/>
      <c r="P265" s="544"/>
      <c r="Q265" s="544"/>
      <c r="R265" s="544"/>
      <c r="S265" s="544">
        <v>278</v>
      </c>
      <c r="T265" s="544">
        <v>150</v>
      </c>
      <c r="U265" s="544"/>
      <c r="V265" s="544"/>
      <c r="W265" s="544"/>
      <c r="X265" s="544"/>
      <c r="Y265" s="185"/>
    </row>
    <row r="266" spans="10:25" x14ac:dyDescent="0.35">
      <c r="J266" s="544"/>
      <c r="K266" s="544"/>
      <c r="L266" s="544"/>
      <c r="M266" s="544"/>
      <c r="N266" s="544"/>
      <c r="O266" s="544"/>
      <c r="P266" s="544"/>
      <c r="Q266" s="544"/>
      <c r="R266" s="544"/>
      <c r="S266" s="544">
        <v>279</v>
      </c>
      <c r="T266" s="544">
        <v>150</v>
      </c>
      <c r="U266" s="544"/>
      <c r="V266" s="544"/>
      <c r="W266" s="544"/>
      <c r="X266" s="544"/>
      <c r="Y266" s="185"/>
    </row>
    <row r="267" spans="10:25" x14ac:dyDescent="0.35">
      <c r="J267" s="544"/>
      <c r="K267" s="544"/>
      <c r="L267" s="544"/>
      <c r="M267" s="544"/>
      <c r="N267" s="544"/>
      <c r="O267" s="544"/>
      <c r="P267" s="544"/>
      <c r="Q267" s="544"/>
      <c r="R267" s="544"/>
      <c r="S267" s="544">
        <v>280</v>
      </c>
      <c r="T267" s="544">
        <v>150</v>
      </c>
      <c r="U267" s="544"/>
      <c r="V267" s="544"/>
      <c r="W267" s="544"/>
      <c r="X267" s="544"/>
      <c r="Y267" s="185"/>
    </row>
    <row r="268" spans="10:25" x14ac:dyDescent="0.35">
      <c r="J268" s="544"/>
      <c r="K268" s="544"/>
      <c r="L268" s="544"/>
      <c r="M268" s="544"/>
      <c r="N268" s="544"/>
      <c r="O268" s="544"/>
      <c r="P268" s="544"/>
      <c r="Q268" s="544"/>
      <c r="R268" s="544"/>
      <c r="S268" s="544">
        <v>281</v>
      </c>
      <c r="T268" s="544">
        <v>150</v>
      </c>
      <c r="U268" s="544"/>
      <c r="V268" s="544"/>
      <c r="W268" s="544"/>
      <c r="X268" s="544"/>
      <c r="Y268" s="185"/>
    </row>
    <row r="269" spans="10:25" x14ac:dyDescent="0.35">
      <c r="J269" s="544"/>
      <c r="K269" s="544"/>
      <c r="L269" s="544"/>
      <c r="M269" s="544"/>
      <c r="N269" s="544"/>
      <c r="O269" s="544"/>
      <c r="P269" s="544"/>
      <c r="Q269" s="544"/>
      <c r="R269" s="544"/>
      <c r="S269" s="544">
        <v>282</v>
      </c>
      <c r="T269" s="544">
        <v>150</v>
      </c>
      <c r="U269" s="544"/>
      <c r="V269" s="544"/>
      <c r="W269" s="544"/>
      <c r="X269" s="544"/>
      <c r="Y269" s="185"/>
    </row>
    <row r="270" spans="10:25" x14ac:dyDescent="0.35">
      <c r="J270" s="544"/>
      <c r="K270" s="544"/>
      <c r="L270" s="544"/>
      <c r="M270" s="544"/>
      <c r="N270" s="544"/>
      <c r="O270" s="544"/>
      <c r="P270" s="544"/>
      <c r="Q270" s="544"/>
      <c r="R270" s="544"/>
      <c r="S270" s="544">
        <v>283</v>
      </c>
      <c r="T270" s="544">
        <v>150</v>
      </c>
      <c r="U270" s="544"/>
      <c r="V270" s="544"/>
      <c r="W270" s="544"/>
      <c r="X270" s="544"/>
      <c r="Y270" s="185"/>
    </row>
    <row r="271" spans="10:25" x14ac:dyDescent="0.35">
      <c r="J271" s="544"/>
      <c r="K271" s="544"/>
      <c r="L271" s="544"/>
      <c r="M271" s="544"/>
      <c r="N271" s="544"/>
      <c r="O271" s="544"/>
      <c r="P271" s="544"/>
      <c r="Q271" s="544"/>
      <c r="R271" s="544"/>
      <c r="S271" s="544">
        <v>284</v>
      </c>
      <c r="T271" s="544">
        <v>150</v>
      </c>
      <c r="U271" s="544"/>
      <c r="V271" s="544"/>
      <c r="W271" s="544"/>
      <c r="X271" s="544"/>
      <c r="Y271" s="185"/>
    </row>
    <row r="272" spans="10:25" x14ac:dyDescent="0.35">
      <c r="J272" s="544"/>
      <c r="K272" s="544"/>
      <c r="L272" s="544"/>
      <c r="M272" s="544"/>
      <c r="N272" s="544"/>
      <c r="O272" s="544"/>
      <c r="P272" s="544"/>
      <c r="Q272" s="544"/>
      <c r="R272" s="544"/>
      <c r="S272" s="544">
        <v>285</v>
      </c>
      <c r="T272" s="544">
        <v>150</v>
      </c>
      <c r="U272" s="544"/>
      <c r="V272" s="544"/>
      <c r="W272" s="544"/>
      <c r="X272" s="544"/>
      <c r="Y272" s="185"/>
    </row>
    <row r="273" spans="10:25" x14ac:dyDescent="0.35">
      <c r="J273" s="544"/>
      <c r="K273" s="544"/>
      <c r="L273" s="544"/>
      <c r="M273" s="544"/>
      <c r="N273" s="544"/>
      <c r="O273" s="544"/>
      <c r="P273" s="544"/>
      <c r="Q273" s="544"/>
      <c r="R273" s="544"/>
      <c r="S273" s="544">
        <v>286</v>
      </c>
      <c r="T273" s="544">
        <v>150</v>
      </c>
      <c r="U273" s="544"/>
      <c r="V273" s="544"/>
      <c r="W273" s="544"/>
      <c r="X273" s="544"/>
      <c r="Y273" s="185"/>
    </row>
    <row r="274" spans="10:25" x14ac:dyDescent="0.35">
      <c r="J274" s="544"/>
      <c r="K274" s="544"/>
      <c r="L274" s="544"/>
      <c r="M274" s="544"/>
      <c r="N274" s="544"/>
      <c r="O274" s="544"/>
      <c r="P274" s="544"/>
      <c r="Q274" s="544"/>
      <c r="R274" s="544"/>
      <c r="S274" s="544">
        <v>287</v>
      </c>
      <c r="T274" s="544">
        <v>150</v>
      </c>
      <c r="U274" s="544"/>
      <c r="V274" s="544"/>
      <c r="W274" s="544"/>
      <c r="X274" s="544"/>
      <c r="Y274" s="185"/>
    </row>
    <row r="275" spans="10:25" x14ac:dyDescent="0.35">
      <c r="J275" s="544"/>
      <c r="K275" s="544"/>
      <c r="L275" s="544"/>
      <c r="M275" s="544"/>
      <c r="N275" s="544"/>
      <c r="O275" s="544"/>
      <c r="P275" s="544"/>
      <c r="Q275" s="544"/>
      <c r="R275" s="544"/>
      <c r="S275" s="544">
        <v>288</v>
      </c>
      <c r="T275" s="544">
        <v>150</v>
      </c>
      <c r="U275" s="544"/>
      <c r="V275" s="544"/>
      <c r="W275" s="544"/>
      <c r="X275" s="544"/>
      <c r="Y275" s="185"/>
    </row>
    <row r="276" spans="10:25" x14ac:dyDescent="0.35">
      <c r="J276" s="544"/>
      <c r="K276" s="544"/>
      <c r="L276" s="544"/>
      <c r="M276" s="544"/>
      <c r="N276" s="544"/>
      <c r="O276" s="544"/>
      <c r="P276" s="544"/>
      <c r="Q276" s="544"/>
      <c r="R276" s="544"/>
      <c r="S276" s="544">
        <v>289</v>
      </c>
      <c r="T276" s="544">
        <v>150</v>
      </c>
      <c r="U276" s="544"/>
      <c r="V276" s="544"/>
      <c r="W276" s="544"/>
      <c r="X276" s="544"/>
      <c r="Y276" s="185"/>
    </row>
    <row r="277" spans="10:25" x14ac:dyDescent="0.35">
      <c r="J277" s="544"/>
      <c r="K277" s="544"/>
      <c r="L277" s="544"/>
      <c r="M277" s="544"/>
      <c r="N277" s="544"/>
      <c r="O277" s="544"/>
      <c r="P277" s="544"/>
      <c r="Q277" s="544"/>
      <c r="R277" s="544"/>
      <c r="S277" s="544">
        <v>290</v>
      </c>
      <c r="T277" s="544">
        <v>150</v>
      </c>
      <c r="U277" s="544"/>
      <c r="V277" s="544"/>
      <c r="W277" s="544"/>
      <c r="X277" s="544"/>
      <c r="Y277" s="185"/>
    </row>
    <row r="278" spans="10:25" x14ac:dyDescent="0.35">
      <c r="J278" s="544"/>
      <c r="K278" s="544"/>
      <c r="L278" s="544"/>
      <c r="M278" s="544"/>
      <c r="N278" s="544"/>
      <c r="O278" s="544"/>
      <c r="P278" s="544"/>
      <c r="Q278" s="544"/>
      <c r="R278" s="544"/>
      <c r="S278" s="544">
        <v>291</v>
      </c>
      <c r="T278" s="544">
        <v>150</v>
      </c>
      <c r="U278" s="544"/>
      <c r="V278" s="544"/>
      <c r="W278" s="544"/>
      <c r="X278" s="544"/>
      <c r="Y278" s="185"/>
    </row>
    <row r="279" spans="10:25" x14ac:dyDescent="0.35">
      <c r="J279" s="544"/>
      <c r="K279" s="544"/>
      <c r="L279" s="544"/>
      <c r="M279" s="544"/>
      <c r="N279" s="544"/>
      <c r="O279" s="544"/>
      <c r="P279" s="544"/>
      <c r="Q279" s="544"/>
      <c r="R279" s="544"/>
      <c r="S279" s="544">
        <v>292</v>
      </c>
      <c r="T279" s="544">
        <v>150</v>
      </c>
      <c r="U279" s="544"/>
      <c r="V279" s="544"/>
      <c r="W279" s="544"/>
      <c r="X279" s="544"/>
      <c r="Y279" s="185"/>
    </row>
    <row r="280" spans="10:25" x14ac:dyDescent="0.35">
      <c r="J280" s="544"/>
      <c r="K280" s="544"/>
      <c r="L280" s="544"/>
      <c r="M280" s="544"/>
      <c r="N280" s="544"/>
      <c r="O280" s="544"/>
      <c r="P280" s="544"/>
      <c r="Q280" s="544"/>
      <c r="R280" s="544"/>
      <c r="S280" s="544">
        <v>293</v>
      </c>
      <c r="T280" s="544">
        <v>150</v>
      </c>
      <c r="U280" s="544"/>
      <c r="V280" s="544"/>
      <c r="W280" s="544"/>
      <c r="X280" s="544"/>
      <c r="Y280" s="185"/>
    </row>
    <row r="281" spans="10:25" x14ac:dyDescent="0.35">
      <c r="J281" s="544"/>
      <c r="K281" s="544"/>
      <c r="L281" s="544"/>
      <c r="M281" s="544"/>
      <c r="N281" s="544"/>
      <c r="O281" s="544"/>
      <c r="P281" s="544"/>
      <c r="Q281" s="544"/>
      <c r="R281" s="544"/>
      <c r="S281" s="544">
        <v>294</v>
      </c>
      <c r="T281" s="544">
        <v>150</v>
      </c>
      <c r="U281" s="544"/>
      <c r="V281" s="544"/>
      <c r="W281" s="544"/>
      <c r="X281" s="544"/>
      <c r="Y281" s="185"/>
    </row>
    <row r="282" spans="10:25" x14ac:dyDescent="0.35">
      <c r="J282" s="544"/>
      <c r="K282" s="544"/>
      <c r="L282" s="544"/>
      <c r="M282" s="544"/>
      <c r="N282" s="544"/>
      <c r="O282" s="544"/>
      <c r="P282" s="544"/>
      <c r="Q282" s="544"/>
      <c r="R282" s="544"/>
      <c r="S282" s="544">
        <v>295</v>
      </c>
      <c r="T282" s="544">
        <v>150</v>
      </c>
      <c r="U282" s="544"/>
      <c r="V282" s="544"/>
      <c r="W282" s="544"/>
      <c r="X282" s="544"/>
      <c r="Y282" s="185"/>
    </row>
    <row r="283" spans="10:25" x14ac:dyDescent="0.35">
      <c r="J283" s="544"/>
      <c r="K283" s="544"/>
      <c r="L283" s="544"/>
      <c r="M283" s="544"/>
      <c r="N283" s="544"/>
      <c r="O283" s="544"/>
      <c r="P283" s="544"/>
      <c r="Q283" s="544"/>
      <c r="R283" s="544"/>
      <c r="S283" s="544">
        <v>296</v>
      </c>
      <c r="T283" s="544">
        <v>150</v>
      </c>
      <c r="U283" s="544"/>
      <c r="V283" s="544"/>
      <c r="W283" s="544"/>
      <c r="X283" s="544"/>
      <c r="Y283" s="185"/>
    </row>
    <row r="284" spans="10:25" x14ac:dyDescent="0.35">
      <c r="J284" s="544"/>
      <c r="K284" s="544"/>
      <c r="L284" s="544"/>
      <c r="M284" s="544"/>
      <c r="N284" s="544"/>
      <c r="O284" s="544"/>
      <c r="P284" s="544"/>
      <c r="Q284" s="544"/>
      <c r="R284" s="544"/>
      <c r="S284" s="544">
        <v>297</v>
      </c>
      <c r="T284" s="544">
        <v>150</v>
      </c>
      <c r="U284" s="544"/>
      <c r="V284" s="544"/>
      <c r="W284" s="544"/>
      <c r="X284" s="544"/>
      <c r="Y284" s="185"/>
    </row>
    <row r="285" spans="10:25" x14ac:dyDescent="0.35">
      <c r="J285" s="544"/>
      <c r="K285" s="544"/>
      <c r="L285" s="544"/>
      <c r="M285" s="544"/>
      <c r="N285" s="544"/>
      <c r="O285" s="544"/>
      <c r="P285" s="544"/>
      <c r="Q285" s="544"/>
      <c r="R285" s="544"/>
      <c r="S285" s="544">
        <v>298</v>
      </c>
      <c r="T285" s="544">
        <v>150</v>
      </c>
      <c r="U285" s="544"/>
      <c r="V285" s="544"/>
      <c r="W285" s="544"/>
      <c r="X285" s="544"/>
      <c r="Y285" s="185"/>
    </row>
    <row r="286" spans="10:25" x14ac:dyDescent="0.35">
      <c r="J286" s="544"/>
      <c r="K286" s="544"/>
      <c r="L286" s="544"/>
      <c r="M286" s="544"/>
      <c r="N286" s="544"/>
      <c r="O286" s="544"/>
      <c r="P286" s="544"/>
      <c r="Q286" s="544"/>
      <c r="R286" s="544"/>
      <c r="S286" s="544">
        <v>299</v>
      </c>
      <c r="T286" s="544">
        <v>150</v>
      </c>
      <c r="U286" s="544"/>
      <c r="V286" s="544"/>
      <c r="W286" s="544"/>
      <c r="X286" s="544"/>
      <c r="Y286" s="185"/>
    </row>
    <row r="287" spans="10:25" x14ac:dyDescent="0.35">
      <c r="J287" s="544"/>
      <c r="K287" s="544"/>
      <c r="L287" s="544"/>
      <c r="M287" s="544"/>
      <c r="N287" s="544"/>
      <c r="O287" s="544"/>
      <c r="P287" s="544"/>
      <c r="Q287" s="544"/>
      <c r="R287" s="544"/>
      <c r="S287" s="544">
        <v>300</v>
      </c>
      <c r="T287" s="544">
        <v>150</v>
      </c>
      <c r="U287" s="544">
        <v>300</v>
      </c>
      <c r="V287" s="544"/>
      <c r="W287" s="544"/>
      <c r="X287" s="544"/>
      <c r="Y287" s="185"/>
    </row>
    <row r="288" spans="10:25" x14ac:dyDescent="0.35">
      <c r="J288" s="544"/>
      <c r="K288" s="544"/>
      <c r="L288" s="544"/>
      <c r="M288" s="544"/>
      <c r="N288" s="544"/>
      <c r="O288" s="544"/>
      <c r="P288" s="544"/>
      <c r="Q288" s="544"/>
      <c r="R288" s="544"/>
      <c r="S288" s="544">
        <v>301</v>
      </c>
      <c r="T288" s="544">
        <v>150</v>
      </c>
      <c r="U288" s="544"/>
      <c r="V288" s="544"/>
      <c r="W288" s="544"/>
      <c r="X288" s="544"/>
      <c r="Y288" s="185"/>
    </row>
    <row r="289" spans="10:25" x14ac:dyDescent="0.35">
      <c r="J289" s="544"/>
      <c r="K289" s="544"/>
      <c r="L289" s="544"/>
      <c r="M289" s="544"/>
      <c r="N289" s="544"/>
      <c r="O289" s="544"/>
      <c r="P289" s="544"/>
      <c r="Q289" s="544"/>
      <c r="R289" s="544"/>
      <c r="S289" s="544">
        <v>302</v>
      </c>
      <c r="T289" s="544">
        <v>150</v>
      </c>
      <c r="U289" s="544"/>
      <c r="V289" s="544"/>
      <c r="W289" s="544"/>
      <c r="X289" s="544"/>
      <c r="Y289" s="185"/>
    </row>
    <row r="290" spans="10:25" x14ac:dyDescent="0.35">
      <c r="J290" s="544"/>
      <c r="K290" s="544"/>
      <c r="L290" s="544"/>
      <c r="M290" s="544"/>
      <c r="N290" s="544"/>
      <c r="O290" s="544"/>
      <c r="P290" s="544"/>
      <c r="Q290" s="544"/>
      <c r="R290" s="544"/>
      <c r="S290" s="544">
        <v>303</v>
      </c>
      <c r="T290" s="544">
        <v>150</v>
      </c>
      <c r="U290" s="544"/>
      <c r="V290" s="544"/>
      <c r="W290" s="544"/>
      <c r="X290" s="544"/>
      <c r="Y290" s="185"/>
    </row>
    <row r="291" spans="10:25" x14ac:dyDescent="0.35">
      <c r="J291" s="544"/>
      <c r="K291" s="544"/>
      <c r="L291" s="544"/>
      <c r="M291" s="544"/>
      <c r="N291" s="544"/>
      <c r="O291" s="544"/>
      <c r="P291" s="544"/>
      <c r="Q291" s="544"/>
      <c r="R291" s="544"/>
      <c r="S291" s="544">
        <v>304</v>
      </c>
      <c r="T291" s="544">
        <v>150</v>
      </c>
      <c r="U291" s="544"/>
      <c r="V291" s="544"/>
      <c r="W291" s="544"/>
      <c r="X291" s="544"/>
      <c r="Y291" s="185"/>
    </row>
    <row r="292" spans="10:25" x14ac:dyDescent="0.35">
      <c r="J292" s="544"/>
      <c r="K292" s="544"/>
      <c r="L292" s="544"/>
      <c r="M292" s="544"/>
      <c r="N292" s="544"/>
      <c r="O292" s="544"/>
      <c r="P292" s="544"/>
      <c r="Q292" s="544"/>
      <c r="R292" s="544"/>
      <c r="S292" s="544">
        <v>305</v>
      </c>
      <c r="T292" s="544">
        <v>150</v>
      </c>
      <c r="U292" s="544"/>
      <c r="V292" s="544"/>
      <c r="W292" s="544"/>
      <c r="X292" s="544"/>
      <c r="Y292" s="185"/>
    </row>
    <row r="293" spans="10:25" x14ac:dyDescent="0.35">
      <c r="J293" s="544"/>
      <c r="K293" s="544"/>
      <c r="L293" s="544"/>
      <c r="M293" s="544"/>
      <c r="N293" s="544"/>
      <c r="O293" s="544"/>
      <c r="P293" s="544"/>
      <c r="Q293" s="544"/>
      <c r="R293" s="544"/>
      <c r="S293" s="544">
        <v>306</v>
      </c>
      <c r="T293" s="544">
        <v>150</v>
      </c>
      <c r="U293" s="544"/>
      <c r="V293" s="544"/>
      <c r="W293" s="544"/>
      <c r="X293" s="544"/>
      <c r="Y293" s="185"/>
    </row>
    <row r="294" spans="10:25" x14ac:dyDescent="0.35">
      <c r="J294" s="544"/>
      <c r="K294" s="544"/>
      <c r="L294" s="544"/>
      <c r="M294" s="544"/>
      <c r="N294" s="544"/>
      <c r="O294" s="544"/>
      <c r="P294" s="544"/>
      <c r="Q294" s="544"/>
      <c r="R294" s="544"/>
      <c r="S294" s="544">
        <v>307</v>
      </c>
      <c r="T294" s="544">
        <v>150</v>
      </c>
      <c r="U294" s="544"/>
      <c r="V294" s="544"/>
      <c r="W294" s="544"/>
      <c r="X294" s="544"/>
      <c r="Y294" s="185"/>
    </row>
    <row r="295" spans="10:25" x14ac:dyDescent="0.35">
      <c r="J295" s="544"/>
      <c r="K295" s="544"/>
      <c r="L295" s="544"/>
      <c r="M295" s="544"/>
      <c r="N295" s="544"/>
      <c r="O295" s="544"/>
      <c r="P295" s="544"/>
      <c r="Q295" s="544"/>
      <c r="R295" s="544"/>
      <c r="S295" s="544">
        <v>308</v>
      </c>
      <c r="T295" s="544">
        <v>150</v>
      </c>
      <c r="U295" s="544"/>
      <c r="V295" s="544"/>
      <c r="W295" s="544"/>
      <c r="X295" s="544"/>
      <c r="Y295" s="185"/>
    </row>
    <row r="296" spans="10:25" x14ac:dyDescent="0.35">
      <c r="J296" s="544"/>
      <c r="K296" s="544"/>
      <c r="L296" s="544"/>
      <c r="M296" s="544"/>
      <c r="N296" s="544"/>
      <c r="O296" s="544"/>
      <c r="P296" s="544"/>
      <c r="Q296" s="544"/>
      <c r="R296" s="544"/>
      <c r="S296" s="544">
        <v>309</v>
      </c>
      <c r="T296" s="544">
        <v>150</v>
      </c>
      <c r="U296" s="544"/>
      <c r="V296" s="544"/>
      <c r="W296" s="544"/>
      <c r="X296" s="544"/>
      <c r="Y296" s="185"/>
    </row>
    <row r="297" spans="10:25" x14ac:dyDescent="0.35">
      <c r="J297" s="544"/>
      <c r="K297" s="544"/>
      <c r="L297" s="544"/>
      <c r="M297" s="544"/>
      <c r="N297" s="544"/>
      <c r="O297" s="544"/>
      <c r="P297" s="544"/>
      <c r="Q297" s="544"/>
      <c r="R297" s="544"/>
      <c r="S297" s="544">
        <v>310</v>
      </c>
      <c r="T297" s="544">
        <v>150</v>
      </c>
      <c r="U297" s="544"/>
      <c r="V297" s="544"/>
      <c r="W297" s="544"/>
      <c r="X297" s="544"/>
      <c r="Y297" s="185"/>
    </row>
    <row r="298" spans="10:25" x14ac:dyDescent="0.35">
      <c r="J298" s="544"/>
      <c r="K298" s="544"/>
      <c r="L298" s="544"/>
      <c r="M298" s="544"/>
      <c r="N298" s="544"/>
      <c r="O298" s="544"/>
      <c r="P298" s="544"/>
      <c r="Q298" s="544"/>
      <c r="R298" s="544"/>
      <c r="S298" s="544">
        <v>311</v>
      </c>
      <c r="T298" s="544">
        <v>150</v>
      </c>
      <c r="U298" s="544"/>
      <c r="V298" s="544"/>
      <c r="W298" s="544"/>
      <c r="X298" s="544"/>
      <c r="Y298" s="185"/>
    </row>
    <row r="299" spans="10:25" x14ac:dyDescent="0.35">
      <c r="J299" s="544"/>
      <c r="K299" s="544"/>
      <c r="L299" s="544"/>
      <c r="M299" s="544"/>
      <c r="N299" s="544"/>
      <c r="O299" s="544"/>
      <c r="P299" s="544"/>
      <c r="Q299" s="544"/>
      <c r="R299" s="544"/>
      <c r="S299" s="544">
        <v>312</v>
      </c>
      <c r="T299" s="544">
        <v>150</v>
      </c>
      <c r="U299" s="544"/>
      <c r="V299" s="544"/>
      <c r="W299" s="544"/>
      <c r="X299" s="544"/>
      <c r="Y299" s="185"/>
    </row>
    <row r="300" spans="10:25" x14ac:dyDescent="0.35">
      <c r="J300" s="544"/>
      <c r="K300" s="544"/>
      <c r="L300" s="544"/>
      <c r="M300" s="544"/>
      <c r="N300" s="544"/>
      <c r="O300" s="544"/>
      <c r="P300" s="544"/>
      <c r="Q300" s="544"/>
      <c r="R300" s="544"/>
      <c r="S300" s="544">
        <v>313</v>
      </c>
      <c r="T300" s="544">
        <v>150</v>
      </c>
      <c r="U300" s="544"/>
      <c r="V300" s="544"/>
      <c r="W300" s="544"/>
      <c r="X300" s="544"/>
      <c r="Y300" s="185"/>
    </row>
    <row r="301" spans="10:25" x14ac:dyDescent="0.35">
      <c r="J301" s="544"/>
      <c r="K301" s="544"/>
      <c r="L301" s="544"/>
      <c r="M301" s="544"/>
      <c r="N301" s="544"/>
      <c r="O301" s="544"/>
      <c r="P301" s="544"/>
      <c r="Q301" s="544"/>
      <c r="R301" s="544"/>
      <c r="S301" s="544">
        <v>314</v>
      </c>
      <c r="T301" s="544">
        <v>150</v>
      </c>
      <c r="U301" s="544"/>
      <c r="V301" s="544"/>
      <c r="W301" s="544"/>
      <c r="X301" s="544"/>
      <c r="Y301" s="185"/>
    </row>
    <row r="302" spans="10:25" x14ac:dyDescent="0.35">
      <c r="J302" s="544"/>
      <c r="K302" s="544"/>
      <c r="L302" s="544"/>
      <c r="M302" s="544"/>
      <c r="N302" s="544"/>
      <c r="O302" s="544"/>
      <c r="P302" s="544"/>
      <c r="Q302" s="544"/>
      <c r="R302" s="544"/>
      <c r="S302" s="544">
        <v>315</v>
      </c>
      <c r="T302" s="544">
        <v>150</v>
      </c>
      <c r="U302" s="544"/>
      <c r="V302" s="544"/>
      <c r="W302" s="544"/>
      <c r="X302" s="544"/>
      <c r="Y302" s="185"/>
    </row>
    <row r="303" spans="10:25" x14ac:dyDescent="0.35">
      <c r="J303" s="544"/>
      <c r="K303" s="544"/>
      <c r="L303" s="544"/>
      <c r="M303" s="544"/>
      <c r="N303" s="544"/>
      <c r="O303" s="544"/>
      <c r="P303" s="544"/>
      <c r="Q303" s="544"/>
      <c r="R303" s="544"/>
      <c r="S303" s="544">
        <v>316</v>
      </c>
      <c r="T303" s="544">
        <v>150</v>
      </c>
      <c r="U303" s="544"/>
      <c r="V303" s="544"/>
      <c r="W303" s="544"/>
      <c r="X303" s="544"/>
      <c r="Y303" s="185"/>
    </row>
    <row r="304" spans="10:25" x14ac:dyDescent="0.35">
      <c r="J304" s="544"/>
      <c r="K304" s="544"/>
      <c r="L304" s="544"/>
      <c r="M304" s="544"/>
      <c r="N304" s="544"/>
      <c r="O304" s="544"/>
      <c r="P304" s="544"/>
      <c r="Q304" s="544"/>
      <c r="R304" s="544"/>
      <c r="S304" s="544">
        <v>317</v>
      </c>
      <c r="T304" s="544">
        <v>150</v>
      </c>
      <c r="U304" s="544"/>
      <c r="V304" s="544"/>
      <c r="W304" s="544"/>
      <c r="X304" s="544"/>
      <c r="Y304" s="185"/>
    </row>
    <row r="305" spans="10:25" x14ac:dyDescent="0.35">
      <c r="J305" s="544"/>
      <c r="K305" s="544"/>
      <c r="L305" s="544"/>
      <c r="M305" s="544"/>
      <c r="N305" s="544"/>
      <c r="O305" s="544"/>
      <c r="P305" s="544"/>
      <c r="Q305" s="544"/>
      <c r="R305" s="544"/>
      <c r="S305" s="544">
        <v>318</v>
      </c>
      <c r="T305" s="544">
        <v>150</v>
      </c>
      <c r="U305" s="544"/>
      <c r="V305" s="544"/>
      <c r="W305" s="544"/>
      <c r="X305" s="544"/>
      <c r="Y305" s="185"/>
    </row>
    <row r="306" spans="10:25" x14ac:dyDescent="0.35">
      <c r="J306" s="544"/>
      <c r="K306" s="544"/>
      <c r="L306" s="544"/>
      <c r="M306" s="544"/>
      <c r="N306" s="544"/>
      <c r="O306" s="544"/>
      <c r="P306" s="544"/>
      <c r="Q306" s="544"/>
      <c r="R306" s="544"/>
      <c r="S306" s="544">
        <v>319</v>
      </c>
      <c r="T306" s="544">
        <v>150</v>
      </c>
      <c r="U306" s="544"/>
      <c r="V306" s="544"/>
      <c r="W306" s="544"/>
      <c r="X306" s="544"/>
      <c r="Y306" s="185"/>
    </row>
    <row r="307" spans="10:25" x14ac:dyDescent="0.35">
      <c r="J307" s="544"/>
      <c r="K307" s="544"/>
      <c r="L307" s="544"/>
      <c r="M307" s="544"/>
      <c r="N307" s="544"/>
      <c r="O307" s="544"/>
      <c r="P307" s="544"/>
      <c r="Q307" s="544"/>
      <c r="R307" s="544"/>
      <c r="S307" s="544">
        <v>320</v>
      </c>
      <c r="T307" s="544">
        <v>150</v>
      </c>
      <c r="U307" s="544"/>
      <c r="V307" s="544"/>
      <c r="W307" s="544"/>
      <c r="X307" s="544"/>
      <c r="Y307" s="185"/>
    </row>
    <row r="308" spans="10:25" x14ac:dyDescent="0.35">
      <c r="J308" s="544"/>
      <c r="K308" s="544"/>
      <c r="L308" s="544"/>
      <c r="M308" s="544"/>
      <c r="N308" s="544"/>
      <c r="O308" s="544"/>
      <c r="P308" s="544"/>
      <c r="Q308" s="544"/>
      <c r="R308" s="544"/>
      <c r="S308" s="544">
        <v>321</v>
      </c>
      <c r="T308" s="544">
        <v>150</v>
      </c>
      <c r="U308" s="544"/>
      <c r="V308" s="544"/>
      <c r="W308" s="544"/>
      <c r="X308" s="544"/>
      <c r="Y308" s="185"/>
    </row>
    <row r="309" spans="10:25" x14ac:dyDescent="0.35">
      <c r="J309" s="544"/>
      <c r="K309" s="544"/>
      <c r="L309" s="544"/>
      <c r="M309" s="544"/>
      <c r="N309" s="544"/>
      <c r="O309" s="544"/>
      <c r="P309" s="544"/>
      <c r="Q309" s="544"/>
      <c r="R309" s="544"/>
      <c r="S309" s="544">
        <v>322</v>
      </c>
      <c r="T309" s="544">
        <v>150</v>
      </c>
      <c r="U309" s="544"/>
      <c r="V309" s="544"/>
      <c r="W309" s="544"/>
      <c r="X309" s="544"/>
      <c r="Y309" s="185"/>
    </row>
    <row r="310" spans="10:25" x14ac:dyDescent="0.35">
      <c r="J310" s="544"/>
      <c r="K310" s="544"/>
      <c r="L310" s="544"/>
      <c r="M310" s="544"/>
      <c r="N310" s="544"/>
      <c r="O310" s="544"/>
      <c r="P310" s="544"/>
      <c r="Q310" s="544"/>
      <c r="R310" s="544"/>
      <c r="S310" s="544">
        <v>323</v>
      </c>
      <c r="T310" s="544">
        <v>150</v>
      </c>
      <c r="U310" s="544"/>
      <c r="V310" s="544"/>
      <c r="W310" s="544"/>
      <c r="X310" s="544"/>
      <c r="Y310" s="185"/>
    </row>
    <row r="311" spans="10:25" x14ac:dyDescent="0.35">
      <c r="J311" s="544"/>
      <c r="K311" s="544"/>
      <c r="L311" s="544"/>
      <c r="M311" s="544"/>
      <c r="N311" s="544"/>
      <c r="O311" s="544"/>
      <c r="P311" s="544"/>
      <c r="Q311" s="544"/>
      <c r="R311" s="544"/>
      <c r="S311" s="544">
        <v>324</v>
      </c>
      <c r="T311" s="544">
        <v>150</v>
      </c>
      <c r="U311" s="544"/>
      <c r="V311" s="544"/>
      <c r="W311" s="544"/>
      <c r="X311" s="544"/>
      <c r="Y311" s="185"/>
    </row>
    <row r="312" spans="10:25" x14ac:dyDescent="0.35">
      <c r="J312" s="544"/>
      <c r="K312" s="544"/>
      <c r="L312" s="544"/>
      <c r="M312" s="544"/>
      <c r="N312" s="544"/>
      <c r="O312" s="544"/>
      <c r="P312" s="544"/>
      <c r="Q312" s="544"/>
      <c r="R312" s="544"/>
      <c r="S312" s="544">
        <v>325</v>
      </c>
      <c r="T312" s="544">
        <v>150</v>
      </c>
      <c r="U312" s="544"/>
      <c r="V312" s="544"/>
      <c r="W312" s="544"/>
      <c r="X312" s="544"/>
      <c r="Y312" s="185"/>
    </row>
    <row r="313" spans="10:25" x14ac:dyDescent="0.35">
      <c r="J313" s="544"/>
      <c r="K313" s="544"/>
      <c r="L313" s="544"/>
      <c r="M313" s="544"/>
      <c r="N313" s="544"/>
      <c r="O313" s="544"/>
      <c r="P313" s="544"/>
      <c r="Q313" s="544"/>
      <c r="R313" s="544"/>
      <c r="S313" s="544">
        <v>326</v>
      </c>
      <c r="T313" s="544">
        <v>150</v>
      </c>
      <c r="U313" s="544"/>
      <c r="V313" s="544"/>
      <c r="W313" s="544"/>
      <c r="X313" s="544"/>
      <c r="Y313" s="185"/>
    </row>
    <row r="314" spans="10:25" x14ac:dyDescent="0.35">
      <c r="J314" s="544"/>
      <c r="K314" s="544"/>
      <c r="L314" s="544"/>
      <c r="M314" s="544"/>
      <c r="N314" s="544"/>
      <c r="O314" s="544"/>
      <c r="P314" s="544"/>
      <c r="Q314" s="544"/>
      <c r="R314" s="544"/>
      <c r="S314" s="544">
        <v>327</v>
      </c>
      <c r="T314" s="544">
        <v>150</v>
      </c>
      <c r="U314" s="544"/>
      <c r="V314" s="544"/>
      <c r="W314" s="544"/>
      <c r="X314" s="544"/>
      <c r="Y314" s="185"/>
    </row>
    <row r="315" spans="10:25" x14ac:dyDescent="0.35">
      <c r="J315" s="544"/>
      <c r="K315" s="544"/>
      <c r="L315" s="544"/>
      <c r="M315" s="544"/>
      <c r="N315" s="544"/>
      <c r="O315" s="544"/>
      <c r="P315" s="544"/>
      <c r="Q315" s="544"/>
      <c r="R315" s="544"/>
      <c r="S315" s="544">
        <v>328</v>
      </c>
      <c r="T315" s="544">
        <v>150</v>
      </c>
      <c r="U315" s="544"/>
      <c r="V315" s="544"/>
      <c r="W315" s="544"/>
      <c r="X315" s="544"/>
      <c r="Y315" s="185"/>
    </row>
    <row r="316" spans="10:25" x14ac:dyDescent="0.35">
      <c r="J316" s="544"/>
      <c r="K316" s="544"/>
      <c r="L316" s="544"/>
      <c r="M316" s="544"/>
      <c r="N316" s="544"/>
      <c r="O316" s="544"/>
      <c r="P316" s="544"/>
      <c r="Q316" s="544"/>
      <c r="R316" s="544"/>
      <c r="S316" s="544">
        <v>329</v>
      </c>
      <c r="T316" s="544">
        <v>150</v>
      </c>
      <c r="U316" s="544"/>
      <c r="V316" s="544"/>
      <c r="W316" s="544"/>
      <c r="X316" s="544"/>
      <c r="Y316" s="185"/>
    </row>
    <row r="317" spans="10:25" x14ac:dyDescent="0.35">
      <c r="J317" s="544"/>
      <c r="K317" s="544"/>
      <c r="L317" s="544"/>
      <c r="M317" s="544"/>
      <c r="N317" s="544"/>
      <c r="O317" s="544"/>
      <c r="P317" s="544"/>
      <c r="Q317" s="544"/>
      <c r="R317" s="544"/>
      <c r="S317" s="544">
        <v>330</v>
      </c>
      <c r="T317" s="544">
        <v>150</v>
      </c>
      <c r="U317" s="544"/>
      <c r="V317" s="544"/>
      <c r="W317" s="544"/>
      <c r="X317" s="544"/>
      <c r="Y317" s="185"/>
    </row>
    <row r="318" spans="10:25" x14ac:dyDescent="0.35">
      <c r="J318" s="544"/>
      <c r="K318" s="544"/>
      <c r="L318" s="544"/>
      <c r="M318" s="544"/>
      <c r="N318" s="544"/>
      <c r="O318" s="544"/>
      <c r="P318" s="544"/>
      <c r="Q318" s="544"/>
      <c r="R318" s="544"/>
      <c r="S318" s="544">
        <v>331</v>
      </c>
      <c r="T318" s="544">
        <v>150</v>
      </c>
      <c r="U318" s="544"/>
      <c r="V318" s="544"/>
      <c r="W318" s="544"/>
      <c r="X318" s="544"/>
      <c r="Y318" s="185"/>
    </row>
    <row r="319" spans="10:25" x14ac:dyDescent="0.35">
      <c r="J319" s="544"/>
      <c r="K319" s="544"/>
      <c r="L319" s="544"/>
      <c r="M319" s="544"/>
      <c r="N319" s="544"/>
      <c r="O319" s="544"/>
      <c r="P319" s="544"/>
      <c r="Q319" s="544"/>
      <c r="R319" s="544"/>
      <c r="S319" s="544">
        <v>332</v>
      </c>
      <c r="T319" s="544">
        <v>150</v>
      </c>
      <c r="U319" s="544"/>
      <c r="V319" s="544"/>
      <c r="W319" s="544"/>
      <c r="X319" s="544"/>
      <c r="Y319" s="185"/>
    </row>
    <row r="320" spans="10:25" x14ac:dyDescent="0.35">
      <c r="J320" s="544"/>
      <c r="K320" s="544"/>
      <c r="L320" s="544"/>
      <c r="M320" s="544"/>
      <c r="N320" s="544"/>
      <c r="O320" s="544"/>
      <c r="P320" s="544"/>
      <c r="Q320" s="544"/>
      <c r="R320" s="544"/>
      <c r="S320" s="544">
        <v>333</v>
      </c>
      <c r="T320" s="544">
        <v>150</v>
      </c>
      <c r="U320" s="544"/>
      <c r="V320" s="544"/>
      <c r="W320" s="544"/>
      <c r="X320" s="544"/>
      <c r="Y320" s="185"/>
    </row>
    <row r="321" spans="10:25" x14ac:dyDescent="0.35">
      <c r="J321" s="544"/>
      <c r="K321" s="544"/>
      <c r="L321" s="544"/>
      <c r="M321" s="544"/>
      <c r="N321" s="544"/>
      <c r="O321" s="544"/>
      <c r="P321" s="544"/>
      <c r="Q321" s="544"/>
      <c r="R321" s="544"/>
      <c r="S321" s="544">
        <v>334</v>
      </c>
      <c r="T321" s="544">
        <v>150</v>
      </c>
      <c r="U321" s="544"/>
      <c r="V321" s="544"/>
      <c r="W321" s="544"/>
      <c r="X321" s="544"/>
      <c r="Y321" s="185"/>
    </row>
    <row r="322" spans="10:25" x14ac:dyDescent="0.35">
      <c r="J322" s="544"/>
      <c r="K322" s="544"/>
      <c r="L322" s="544"/>
      <c r="M322" s="544"/>
      <c r="N322" s="544"/>
      <c r="O322" s="544"/>
      <c r="P322" s="544"/>
      <c r="Q322" s="544"/>
      <c r="R322" s="544"/>
      <c r="S322" s="544">
        <v>335</v>
      </c>
      <c r="T322" s="544">
        <v>150</v>
      </c>
      <c r="U322" s="544"/>
      <c r="V322" s="544"/>
      <c r="W322" s="544"/>
      <c r="X322" s="544"/>
      <c r="Y322" s="185"/>
    </row>
    <row r="323" spans="10:25" x14ac:dyDescent="0.35">
      <c r="J323" s="544"/>
      <c r="K323" s="544"/>
      <c r="L323" s="544"/>
      <c r="M323" s="544"/>
      <c r="N323" s="544"/>
      <c r="O323" s="544"/>
      <c r="P323" s="544"/>
      <c r="Q323" s="544"/>
      <c r="R323" s="544"/>
      <c r="S323" s="544">
        <v>336</v>
      </c>
      <c r="T323" s="544">
        <v>150</v>
      </c>
      <c r="U323" s="544"/>
      <c r="V323" s="544"/>
      <c r="W323" s="544"/>
      <c r="X323" s="544"/>
      <c r="Y323" s="185"/>
    </row>
    <row r="324" spans="10:25" x14ac:dyDescent="0.35">
      <c r="J324" s="544"/>
      <c r="K324" s="544"/>
      <c r="L324" s="544"/>
      <c r="M324" s="544"/>
      <c r="N324" s="544"/>
      <c r="O324" s="544"/>
      <c r="P324" s="544"/>
      <c r="Q324" s="544"/>
      <c r="R324" s="544"/>
      <c r="S324" s="544">
        <v>337</v>
      </c>
      <c r="T324" s="544">
        <v>150</v>
      </c>
      <c r="U324" s="544"/>
      <c r="V324" s="544"/>
      <c r="W324" s="544"/>
      <c r="X324" s="544"/>
      <c r="Y324" s="185"/>
    </row>
    <row r="325" spans="10:25" x14ac:dyDescent="0.35">
      <c r="J325" s="544"/>
      <c r="K325" s="544"/>
      <c r="L325" s="544"/>
      <c r="M325" s="544"/>
      <c r="N325" s="544"/>
      <c r="O325" s="544"/>
      <c r="P325" s="544"/>
      <c r="Q325" s="544"/>
      <c r="R325" s="544"/>
      <c r="S325" s="544">
        <v>338</v>
      </c>
      <c r="T325" s="544">
        <v>150</v>
      </c>
      <c r="U325" s="544"/>
      <c r="V325" s="544"/>
      <c r="W325" s="544"/>
      <c r="X325" s="544"/>
      <c r="Y325" s="185"/>
    </row>
    <row r="326" spans="10:25" x14ac:dyDescent="0.35">
      <c r="J326" s="544"/>
      <c r="K326" s="544"/>
      <c r="L326" s="544"/>
      <c r="M326" s="544"/>
      <c r="N326" s="544"/>
      <c r="O326" s="544"/>
      <c r="P326" s="544"/>
      <c r="Q326" s="544"/>
      <c r="R326" s="544"/>
      <c r="S326" s="544">
        <v>339</v>
      </c>
      <c r="T326" s="544">
        <v>150</v>
      </c>
      <c r="U326" s="544"/>
      <c r="V326" s="544"/>
      <c r="W326" s="544"/>
      <c r="X326" s="544"/>
      <c r="Y326" s="185"/>
    </row>
    <row r="327" spans="10:25" x14ac:dyDescent="0.35">
      <c r="J327" s="544"/>
      <c r="K327" s="544"/>
      <c r="L327" s="544"/>
      <c r="M327" s="544"/>
      <c r="N327" s="544"/>
      <c r="O327" s="544"/>
      <c r="P327" s="544"/>
      <c r="Q327" s="544"/>
      <c r="R327" s="544"/>
      <c r="S327" s="544">
        <v>340</v>
      </c>
      <c r="T327" s="544">
        <v>150</v>
      </c>
      <c r="U327" s="544"/>
      <c r="V327" s="544"/>
      <c r="W327" s="544"/>
      <c r="X327" s="544"/>
      <c r="Y327" s="185"/>
    </row>
    <row r="328" spans="10:25" x14ac:dyDescent="0.35">
      <c r="J328" s="544"/>
      <c r="K328" s="544"/>
      <c r="L328" s="544"/>
      <c r="M328" s="544"/>
      <c r="N328" s="544"/>
      <c r="O328" s="544"/>
      <c r="P328" s="544"/>
      <c r="Q328" s="544"/>
      <c r="R328" s="544"/>
      <c r="S328" s="544">
        <v>341</v>
      </c>
      <c r="T328" s="544">
        <v>150</v>
      </c>
      <c r="U328" s="544"/>
      <c r="V328" s="544"/>
      <c r="W328" s="544"/>
      <c r="X328" s="544"/>
      <c r="Y328" s="185"/>
    </row>
    <row r="329" spans="10:25" x14ac:dyDescent="0.35">
      <c r="J329" s="544"/>
      <c r="K329" s="544"/>
      <c r="L329" s="544"/>
      <c r="M329" s="544"/>
      <c r="N329" s="544"/>
      <c r="O329" s="544"/>
      <c r="P329" s="544"/>
      <c r="Q329" s="544"/>
      <c r="R329" s="544"/>
      <c r="S329" s="544">
        <v>342</v>
      </c>
      <c r="T329" s="544">
        <v>150</v>
      </c>
      <c r="U329" s="544"/>
      <c r="V329" s="544"/>
      <c r="W329" s="544"/>
      <c r="X329" s="544"/>
      <c r="Y329" s="185"/>
    </row>
    <row r="330" spans="10:25" x14ac:dyDescent="0.35">
      <c r="J330" s="544"/>
      <c r="K330" s="544"/>
      <c r="L330" s="544"/>
      <c r="M330" s="544"/>
      <c r="N330" s="544"/>
      <c r="O330" s="544"/>
      <c r="P330" s="544"/>
      <c r="Q330" s="544"/>
      <c r="R330" s="544"/>
      <c r="S330" s="544">
        <v>343</v>
      </c>
      <c r="T330" s="544">
        <v>150</v>
      </c>
      <c r="U330" s="544"/>
      <c r="V330" s="544"/>
      <c r="W330" s="544"/>
      <c r="X330" s="544"/>
      <c r="Y330" s="185"/>
    </row>
    <row r="331" spans="10:25" x14ac:dyDescent="0.35">
      <c r="J331" s="544"/>
      <c r="K331" s="544"/>
      <c r="L331" s="544"/>
      <c r="M331" s="544"/>
      <c r="N331" s="544"/>
      <c r="O331" s="544"/>
      <c r="P331" s="544"/>
      <c r="Q331" s="544"/>
      <c r="R331" s="544"/>
      <c r="S331" s="544">
        <v>344</v>
      </c>
      <c r="T331" s="544">
        <v>150</v>
      </c>
      <c r="U331" s="544"/>
      <c r="V331" s="544"/>
      <c r="W331" s="544"/>
      <c r="X331" s="544"/>
      <c r="Y331" s="185"/>
    </row>
    <row r="332" spans="10:25" x14ac:dyDescent="0.35">
      <c r="J332" s="544"/>
      <c r="K332" s="544"/>
      <c r="L332" s="544"/>
      <c r="M332" s="544"/>
      <c r="N332" s="544"/>
      <c r="O332" s="544"/>
      <c r="P332" s="544"/>
      <c r="Q332" s="544"/>
      <c r="R332" s="544"/>
      <c r="S332" s="544">
        <v>345</v>
      </c>
      <c r="T332" s="544">
        <v>150</v>
      </c>
      <c r="U332" s="544"/>
      <c r="V332" s="544"/>
      <c r="W332" s="544"/>
      <c r="X332" s="544"/>
      <c r="Y332" s="185"/>
    </row>
    <row r="333" spans="10:25" x14ac:dyDescent="0.35">
      <c r="J333" s="544"/>
      <c r="K333" s="544"/>
      <c r="L333" s="544"/>
      <c r="M333" s="544"/>
      <c r="N333" s="544"/>
      <c r="O333" s="544"/>
      <c r="P333" s="544"/>
      <c r="Q333" s="544"/>
      <c r="R333" s="544"/>
      <c r="S333" s="544">
        <v>346</v>
      </c>
      <c r="T333" s="544">
        <v>150</v>
      </c>
      <c r="U333" s="544"/>
      <c r="V333" s="544"/>
      <c r="W333" s="544"/>
      <c r="X333" s="544"/>
      <c r="Y333" s="185"/>
    </row>
    <row r="334" spans="10:25" x14ac:dyDescent="0.35">
      <c r="J334" s="544"/>
      <c r="K334" s="544"/>
      <c r="L334" s="544"/>
      <c r="M334" s="544"/>
      <c r="N334" s="544"/>
      <c r="O334" s="544"/>
      <c r="P334" s="544"/>
      <c r="Q334" s="544"/>
      <c r="R334" s="544"/>
      <c r="S334" s="544">
        <v>347</v>
      </c>
      <c r="T334" s="544">
        <v>150</v>
      </c>
      <c r="U334" s="544"/>
      <c r="V334" s="544"/>
      <c r="W334" s="544"/>
      <c r="X334" s="544"/>
      <c r="Y334" s="185"/>
    </row>
    <row r="335" spans="10:25" x14ac:dyDescent="0.35">
      <c r="J335" s="544"/>
      <c r="K335" s="544"/>
      <c r="L335" s="544"/>
      <c r="M335" s="544"/>
      <c r="N335" s="544"/>
      <c r="O335" s="544"/>
      <c r="P335" s="544"/>
      <c r="Q335" s="544"/>
      <c r="R335" s="544"/>
      <c r="S335" s="544">
        <v>348</v>
      </c>
      <c r="T335" s="544">
        <v>150</v>
      </c>
      <c r="U335" s="544"/>
      <c r="V335" s="544"/>
      <c r="W335" s="544"/>
      <c r="X335" s="544"/>
      <c r="Y335" s="185"/>
    </row>
    <row r="336" spans="10:25" x14ac:dyDescent="0.35">
      <c r="J336" s="544"/>
      <c r="K336" s="544"/>
      <c r="L336" s="544"/>
      <c r="M336" s="544"/>
      <c r="N336" s="544"/>
      <c r="O336" s="544"/>
      <c r="P336" s="544"/>
      <c r="Q336" s="544"/>
      <c r="R336" s="544"/>
      <c r="S336" s="544">
        <v>349</v>
      </c>
      <c r="T336" s="544">
        <v>150</v>
      </c>
      <c r="U336" s="544"/>
      <c r="V336" s="544"/>
      <c r="W336" s="544"/>
      <c r="X336" s="544"/>
      <c r="Y336" s="185"/>
    </row>
    <row r="337" spans="10:25" x14ac:dyDescent="0.35">
      <c r="J337" s="544"/>
      <c r="K337" s="544"/>
      <c r="L337" s="544"/>
      <c r="M337" s="544"/>
      <c r="N337" s="544"/>
      <c r="O337" s="544"/>
      <c r="P337" s="544"/>
      <c r="Q337" s="544"/>
      <c r="R337" s="544"/>
      <c r="S337" s="544">
        <v>350</v>
      </c>
      <c r="T337" s="544">
        <v>150</v>
      </c>
      <c r="U337" s="544"/>
      <c r="V337" s="544"/>
      <c r="W337" s="544"/>
      <c r="X337" s="544"/>
      <c r="Y337" s="185"/>
    </row>
    <row r="338" spans="10:25" x14ac:dyDescent="0.35">
      <c r="J338" s="544"/>
      <c r="K338" s="544"/>
      <c r="L338" s="544"/>
      <c r="M338" s="544"/>
      <c r="N338" s="544"/>
      <c r="O338" s="544"/>
      <c r="P338" s="544"/>
      <c r="Q338" s="544"/>
      <c r="R338" s="544"/>
      <c r="S338" s="544">
        <v>351</v>
      </c>
      <c r="T338" s="544">
        <v>150</v>
      </c>
      <c r="U338" s="544"/>
      <c r="V338" s="544"/>
      <c r="W338" s="544"/>
      <c r="X338" s="544"/>
      <c r="Y338" s="185"/>
    </row>
    <row r="339" spans="10:25" x14ac:dyDescent="0.35">
      <c r="J339" s="544"/>
      <c r="K339" s="544"/>
      <c r="L339" s="544"/>
      <c r="M339" s="544"/>
      <c r="N339" s="544"/>
      <c r="O339" s="544"/>
      <c r="P339" s="544"/>
      <c r="Q339" s="544"/>
      <c r="R339" s="544"/>
      <c r="S339" s="544">
        <v>352</v>
      </c>
      <c r="T339" s="544">
        <v>150</v>
      </c>
      <c r="U339" s="544"/>
      <c r="V339" s="544"/>
      <c r="W339" s="544"/>
      <c r="X339" s="544"/>
      <c r="Y339" s="185"/>
    </row>
    <row r="340" spans="10:25" x14ac:dyDescent="0.35">
      <c r="J340" s="544"/>
      <c r="K340" s="544"/>
      <c r="L340" s="544"/>
      <c r="M340" s="544"/>
      <c r="N340" s="544"/>
      <c r="O340" s="544"/>
      <c r="P340" s="544"/>
      <c r="Q340" s="544"/>
      <c r="R340" s="544"/>
      <c r="S340" s="544">
        <v>353</v>
      </c>
      <c r="T340" s="544">
        <v>150</v>
      </c>
      <c r="U340" s="544"/>
      <c r="V340" s="544"/>
      <c r="W340" s="544"/>
      <c r="X340" s="544"/>
      <c r="Y340" s="185"/>
    </row>
    <row r="341" spans="10:25" x14ac:dyDescent="0.35">
      <c r="J341" s="544"/>
      <c r="K341" s="544"/>
      <c r="L341" s="544"/>
      <c r="M341" s="544"/>
      <c r="N341" s="544"/>
      <c r="O341" s="544"/>
      <c r="P341" s="544"/>
      <c r="Q341" s="544"/>
      <c r="R341" s="544"/>
      <c r="S341" s="544">
        <v>354</v>
      </c>
      <c r="T341" s="544">
        <v>150</v>
      </c>
      <c r="U341" s="544"/>
      <c r="V341" s="544"/>
      <c r="W341" s="544"/>
      <c r="X341" s="544"/>
      <c r="Y341" s="185"/>
    </row>
    <row r="342" spans="10:25" x14ac:dyDescent="0.35">
      <c r="J342" s="544"/>
      <c r="K342" s="544"/>
      <c r="L342" s="544"/>
      <c r="M342" s="544"/>
      <c r="N342" s="544"/>
      <c r="O342" s="544"/>
      <c r="P342" s="544"/>
      <c r="Q342" s="544"/>
      <c r="R342" s="544"/>
      <c r="S342" s="544">
        <v>355</v>
      </c>
      <c r="T342" s="544">
        <v>150</v>
      </c>
      <c r="U342" s="544"/>
      <c r="V342" s="544"/>
      <c r="W342" s="544"/>
      <c r="X342" s="544"/>
      <c r="Y342" s="185"/>
    </row>
    <row r="343" spans="10:25" x14ac:dyDescent="0.35">
      <c r="J343" s="544"/>
      <c r="K343" s="544"/>
      <c r="L343" s="544"/>
      <c r="M343" s="544"/>
      <c r="N343" s="544"/>
      <c r="O343" s="544"/>
      <c r="P343" s="544"/>
      <c r="Q343" s="544"/>
      <c r="R343" s="544"/>
      <c r="S343" s="544">
        <v>356</v>
      </c>
      <c r="T343" s="544">
        <v>150</v>
      </c>
      <c r="U343" s="544"/>
      <c r="V343" s="544"/>
      <c r="W343" s="544"/>
      <c r="X343" s="544"/>
      <c r="Y343" s="185"/>
    </row>
    <row r="344" spans="10:25" x14ac:dyDescent="0.35">
      <c r="J344" s="544"/>
      <c r="K344" s="544"/>
      <c r="L344" s="544"/>
      <c r="M344" s="544"/>
      <c r="N344" s="544"/>
      <c r="O344" s="544"/>
      <c r="P344" s="544"/>
      <c r="Q344" s="544"/>
      <c r="R344" s="544"/>
      <c r="S344" s="544">
        <v>357</v>
      </c>
      <c r="T344" s="544">
        <v>150</v>
      </c>
      <c r="U344" s="544"/>
      <c r="V344" s="544"/>
      <c r="W344" s="544"/>
      <c r="X344" s="544"/>
      <c r="Y344" s="185"/>
    </row>
    <row r="345" spans="10:25" x14ac:dyDescent="0.35">
      <c r="J345" s="544"/>
      <c r="K345" s="544"/>
      <c r="L345" s="544"/>
      <c r="M345" s="544"/>
      <c r="N345" s="544"/>
      <c r="O345" s="544"/>
      <c r="P345" s="544"/>
      <c r="Q345" s="544"/>
      <c r="R345" s="544"/>
      <c r="S345" s="544">
        <v>358</v>
      </c>
      <c r="T345" s="544">
        <v>150</v>
      </c>
      <c r="U345" s="544"/>
      <c r="V345" s="544"/>
      <c r="W345" s="544"/>
      <c r="X345" s="544"/>
      <c r="Y345" s="185"/>
    </row>
    <row r="346" spans="10:25" x14ac:dyDescent="0.35">
      <c r="J346" s="544"/>
      <c r="K346" s="544"/>
      <c r="L346" s="544"/>
      <c r="M346" s="544"/>
      <c r="N346" s="544"/>
      <c r="O346" s="544"/>
      <c r="P346" s="544"/>
      <c r="Q346" s="544"/>
      <c r="R346" s="544"/>
      <c r="S346" s="544">
        <v>359</v>
      </c>
      <c r="T346" s="544">
        <v>150</v>
      </c>
      <c r="U346" s="544"/>
      <c r="V346" s="544"/>
      <c r="W346" s="544"/>
      <c r="X346" s="544"/>
      <c r="Y346" s="185"/>
    </row>
    <row r="347" spans="10:25" x14ac:dyDescent="0.35">
      <c r="J347" s="544"/>
      <c r="K347" s="544"/>
      <c r="L347" s="544"/>
      <c r="M347" s="544"/>
      <c r="N347" s="544"/>
      <c r="O347" s="544"/>
      <c r="P347" s="544"/>
      <c r="Q347" s="544"/>
      <c r="R347" s="544"/>
      <c r="S347" s="544">
        <v>360</v>
      </c>
      <c r="T347" s="544">
        <v>150</v>
      </c>
      <c r="U347" s="544">
        <v>360</v>
      </c>
      <c r="V347" s="544"/>
      <c r="W347" s="544"/>
      <c r="X347" s="544"/>
      <c r="Y347" s="185"/>
    </row>
    <row r="348" spans="10:25" x14ac:dyDescent="0.35">
      <c r="J348" s="544"/>
      <c r="K348" s="544"/>
      <c r="L348" s="544"/>
      <c r="M348" s="544"/>
      <c r="N348" s="544"/>
      <c r="O348" s="544"/>
      <c r="P348" s="544"/>
      <c r="Q348" s="544"/>
      <c r="R348" s="544"/>
      <c r="S348" s="544"/>
      <c r="T348" s="544"/>
      <c r="U348" s="544"/>
      <c r="V348" s="544"/>
      <c r="W348" s="544"/>
      <c r="X348" s="544"/>
      <c r="Y348" s="185"/>
    </row>
    <row r="349" spans="10:25" x14ac:dyDescent="0.35">
      <c r="J349" s="544"/>
      <c r="K349" s="544"/>
      <c r="L349" s="544"/>
      <c r="M349" s="544"/>
      <c r="N349" s="544"/>
      <c r="O349" s="544"/>
      <c r="P349" s="544"/>
      <c r="Q349" s="544"/>
      <c r="R349" s="544"/>
      <c r="S349" s="544"/>
      <c r="T349" s="544"/>
      <c r="U349" s="544"/>
      <c r="V349" s="544"/>
      <c r="W349" s="544"/>
      <c r="X349" s="544"/>
      <c r="Y349" s="185"/>
    </row>
    <row r="350" spans="10:25" x14ac:dyDescent="0.35">
      <c r="J350" s="544"/>
      <c r="K350" s="544"/>
      <c r="L350" s="544"/>
      <c r="M350" s="544"/>
      <c r="N350" s="544"/>
      <c r="O350" s="544"/>
      <c r="P350" s="544"/>
      <c r="Q350" s="544"/>
      <c r="R350" s="544"/>
      <c r="S350" s="544"/>
      <c r="T350" s="544"/>
      <c r="U350" s="544"/>
      <c r="V350" s="544"/>
      <c r="W350" s="544"/>
      <c r="X350" s="544"/>
      <c r="Y350" s="185"/>
    </row>
    <row r="351" spans="10:25" x14ac:dyDescent="0.35">
      <c r="J351" s="544"/>
      <c r="K351" s="544"/>
      <c r="L351" s="544"/>
      <c r="M351" s="544"/>
      <c r="N351" s="544"/>
      <c r="O351" s="544"/>
      <c r="P351" s="544"/>
      <c r="Q351" s="544"/>
      <c r="R351" s="544"/>
      <c r="S351" s="544"/>
      <c r="T351" s="544"/>
      <c r="U351" s="544"/>
      <c r="V351" s="544"/>
      <c r="W351" s="544"/>
      <c r="X351" s="544"/>
      <c r="Y351" s="185"/>
    </row>
    <row r="352" spans="10:25" x14ac:dyDescent="0.35">
      <c r="J352" s="544"/>
      <c r="K352" s="544"/>
      <c r="L352" s="544"/>
      <c r="M352" s="544"/>
      <c r="N352" s="544"/>
      <c r="O352" s="544"/>
      <c r="P352" s="544"/>
      <c r="Q352" s="544"/>
      <c r="R352" s="544"/>
      <c r="S352" s="544"/>
      <c r="T352" s="544"/>
      <c r="U352" s="544"/>
      <c r="V352" s="544"/>
      <c r="W352" s="544"/>
      <c r="X352" s="544"/>
      <c r="Y352" s="185"/>
    </row>
    <row r="353" spans="10:25" x14ac:dyDescent="0.35">
      <c r="J353" s="544"/>
      <c r="K353" s="544"/>
      <c r="L353" s="544"/>
      <c r="M353" s="544"/>
      <c r="N353" s="544"/>
      <c r="O353" s="544"/>
      <c r="P353" s="544"/>
      <c r="Q353" s="544"/>
      <c r="R353" s="544"/>
      <c r="S353" s="544"/>
      <c r="T353" s="544"/>
      <c r="U353" s="544"/>
      <c r="V353" s="544"/>
      <c r="W353" s="544"/>
      <c r="X353" s="544"/>
      <c r="Y353" s="185"/>
    </row>
    <row r="354" spans="10:25" x14ac:dyDescent="0.35">
      <c r="J354" s="544"/>
      <c r="K354" s="544"/>
      <c r="L354" s="544"/>
      <c r="M354" s="544"/>
      <c r="N354" s="544"/>
      <c r="O354" s="544"/>
      <c r="P354" s="544"/>
      <c r="Q354" s="544"/>
      <c r="R354" s="544"/>
      <c r="S354" s="544"/>
      <c r="T354" s="544"/>
      <c r="U354" s="544"/>
      <c r="V354" s="544"/>
      <c r="W354" s="544"/>
      <c r="X354" s="544"/>
      <c r="Y354" s="185"/>
    </row>
    <row r="355" spans="10:25" x14ac:dyDescent="0.35">
      <c r="J355" s="544"/>
      <c r="K355" s="544"/>
      <c r="L355" s="544"/>
      <c r="M355" s="544"/>
      <c r="N355" s="544"/>
      <c r="O355" s="544"/>
      <c r="P355" s="544"/>
      <c r="Q355" s="544"/>
      <c r="R355" s="544"/>
      <c r="S355" s="544"/>
      <c r="T355" s="544"/>
      <c r="U355" s="544"/>
      <c r="V355" s="544"/>
      <c r="W355" s="544"/>
      <c r="X355" s="544"/>
      <c r="Y355" s="185"/>
    </row>
    <row r="356" spans="10:25" x14ac:dyDescent="0.35">
      <c r="J356" s="544"/>
      <c r="K356" s="544"/>
      <c r="L356" s="544"/>
      <c r="M356" s="544"/>
      <c r="N356" s="544"/>
      <c r="O356" s="544"/>
      <c r="P356" s="544"/>
      <c r="Q356" s="544"/>
      <c r="R356" s="544"/>
      <c r="S356" s="544"/>
      <c r="T356" s="544"/>
      <c r="U356" s="544"/>
      <c r="V356" s="544"/>
      <c r="W356" s="544"/>
      <c r="X356" s="544"/>
      <c r="Y356" s="185"/>
    </row>
    <row r="357" spans="10:25" x14ac:dyDescent="0.35">
      <c r="J357" s="544"/>
      <c r="K357" s="544"/>
      <c r="L357" s="544"/>
      <c r="M357" s="544"/>
      <c r="N357" s="544"/>
      <c r="O357" s="544"/>
      <c r="P357" s="544"/>
      <c r="Q357" s="544"/>
      <c r="R357" s="544"/>
      <c r="S357" s="544"/>
      <c r="T357" s="544"/>
      <c r="U357" s="544"/>
      <c r="V357" s="544"/>
      <c r="W357" s="544"/>
      <c r="X357" s="544"/>
      <c r="Y357" s="185"/>
    </row>
    <row r="358" spans="10:25" x14ac:dyDescent="0.35">
      <c r="J358" s="544"/>
      <c r="K358" s="544"/>
      <c r="L358" s="544"/>
      <c r="M358" s="544"/>
      <c r="N358" s="544"/>
      <c r="O358" s="544"/>
      <c r="P358" s="544"/>
      <c r="Q358" s="544"/>
      <c r="R358" s="544"/>
      <c r="S358" s="544"/>
      <c r="T358" s="544"/>
      <c r="U358" s="544"/>
      <c r="V358" s="544"/>
      <c r="W358" s="544"/>
      <c r="X358" s="544"/>
      <c r="Y358" s="185"/>
    </row>
    <row r="359" spans="10:25" x14ac:dyDescent="0.35">
      <c r="J359" s="544"/>
      <c r="K359" s="544"/>
      <c r="L359" s="544"/>
      <c r="M359" s="544"/>
      <c r="N359" s="544"/>
      <c r="O359" s="544"/>
      <c r="P359" s="544"/>
      <c r="Q359" s="544"/>
      <c r="R359" s="544"/>
      <c r="S359" s="544"/>
      <c r="T359" s="544"/>
      <c r="U359" s="544"/>
      <c r="V359" s="544"/>
      <c r="W359" s="544"/>
      <c r="X359" s="544"/>
      <c r="Y359" s="185"/>
    </row>
    <row r="360" spans="10:25" x14ac:dyDescent="0.35">
      <c r="J360" s="544"/>
      <c r="K360" s="544"/>
      <c r="L360" s="544"/>
      <c r="M360" s="544"/>
      <c r="N360" s="544"/>
      <c r="O360" s="544"/>
      <c r="P360" s="544"/>
      <c r="Q360" s="544"/>
      <c r="R360" s="544"/>
      <c r="S360" s="544"/>
      <c r="T360" s="544"/>
      <c r="U360" s="544"/>
      <c r="V360" s="544"/>
      <c r="W360" s="544"/>
      <c r="X360" s="544"/>
      <c r="Y360" s="185"/>
    </row>
    <row r="361" spans="10:25" x14ac:dyDescent="0.35">
      <c r="J361" s="544"/>
      <c r="K361" s="544"/>
      <c r="L361" s="544"/>
      <c r="M361" s="544"/>
      <c r="N361" s="544"/>
      <c r="O361" s="544"/>
      <c r="P361" s="544"/>
      <c r="Q361" s="544"/>
      <c r="R361" s="544"/>
      <c r="S361" s="544"/>
      <c r="T361" s="544"/>
      <c r="U361" s="544"/>
      <c r="V361" s="544"/>
      <c r="W361" s="544"/>
      <c r="X361" s="544"/>
      <c r="Y361" s="185"/>
    </row>
    <row r="362" spans="10:25" x14ac:dyDescent="0.35">
      <c r="J362" s="544"/>
      <c r="K362" s="544"/>
      <c r="L362" s="544"/>
      <c r="M362" s="544"/>
      <c r="N362" s="544"/>
      <c r="O362" s="544"/>
      <c r="P362" s="544"/>
      <c r="Q362" s="544"/>
      <c r="R362" s="544"/>
      <c r="S362" s="544"/>
      <c r="T362" s="544"/>
      <c r="U362" s="544"/>
      <c r="V362" s="544"/>
      <c r="W362" s="544"/>
      <c r="X362" s="544"/>
      <c r="Y362" s="185"/>
    </row>
    <row r="363" spans="10:25" x14ac:dyDescent="0.35">
      <c r="J363" s="544"/>
      <c r="K363" s="544"/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0:25" x14ac:dyDescent="0.35">
      <c r="J364" s="544"/>
      <c r="K364" s="544"/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0:25" x14ac:dyDescent="0.35">
      <c r="J365" s="544"/>
      <c r="K365" s="544"/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0:25" x14ac:dyDescent="0.35">
      <c r="J366" s="544"/>
      <c r="K366" s="544"/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0:25" x14ac:dyDescent="0.35">
      <c r="J367" s="544"/>
      <c r="K367" s="544"/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0:25" x14ac:dyDescent="0.35">
      <c r="J368" s="544"/>
      <c r="K368" s="544"/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0:25" x14ac:dyDescent="0.35">
      <c r="J369" s="544"/>
      <c r="K369" s="544"/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0:25" x14ac:dyDescent="0.35">
      <c r="J370" s="544"/>
      <c r="K370" s="544"/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0:25" x14ac:dyDescent="0.35">
      <c r="J371" s="544"/>
      <c r="K371" s="544"/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0:25" x14ac:dyDescent="0.35">
      <c r="J372" s="544"/>
      <c r="K372" s="544"/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0:25" x14ac:dyDescent="0.35">
      <c r="J373" s="544"/>
      <c r="K373" s="544"/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0:25" x14ac:dyDescent="0.35">
      <c r="J374" s="544"/>
      <c r="K374" s="544"/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0:25" x14ac:dyDescent="0.35">
      <c r="J375" s="544"/>
      <c r="K375" s="544"/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0:25" x14ac:dyDescent="0.35">
      <c r="J376" s="544"/>
      <c r="K376" s="544"/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0:25" x14ac:dyDescent="0.35">
      <c r="J377" s="544"/>
      <c r="K377" s="544"/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0:25" x14ac:dyDescent="0.35">
      <c r="J378" s="544"/>
      <c r="K378" s="544"/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0:25" x14ac:dyDescent="0.35">
      <c r="J379" s="544"/>
      <c r="K379" s="544"/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0:25" x14ac:dyDescent="0.35">
      <c r="J380" s="544"/>
      <c r="K380" s="544"/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0:25" x14ac:dyDescent="0.35">
      <c r="J381" s="544"/>
      <c r="K381" s="544"/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0:25" x14ac:dyDescent="0.35">
      <c r="J382" s="544"/>
      <c r="K382" s="544"/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0:25" x14ac:dyDescent="0.35">
      <c r="J383" s="544"/>
      <c r="K383" s="544"/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0:25" x14ac:dyDescent="0.35">
      <c r="J384" s="544"/>
      <c r="K384" s="544"/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0:25" x14ac:dyDescent="0.35">
      <c r="J385" s="544"/>
      <c r="K385" s="544"/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0:25" x14ac:dyDescent="0.35">
      <c r="J386" s="544"/>
      <c r="K386" s="544"/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0:25" x14ac:dyDescent="0.35">
      <c r="J387" s="544"/>
      <c r="K387" s="544"/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0:25" x14ac:dyDescent="0.35">
      <c r="J388" s="544"/>
      <c r="K388" s="544"/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0:25" x14ac:dyDescent="0.35">
      <c r="J389" s="544"/>
      <c r="K389" s="544"/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0:25" x14ac:dyDescent="0.35">
      <c r="J390" s="544"/>
      <c r="K390" s="544"/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0:25" x14ac:dyDescent="0.35">
      <c r="J391" s="544"/>
      <c r="K391" s="544"/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0:25" x14ac:dyDescent="0.35">
      <c r="J392" s="544"/>
      <c r="K392" s="544"/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0:25" x14ac:dyDescent="0.35">
      <c r="J393" s="544"/>
      <c r="K393" s="544"/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0:25" x14ac:dyDescent="0.35">
      <c r="J394" s="544"/>
      <c r="K394" s="544"/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0:25" x14ac:dyDescent="0.35">
      <c r="J395" s="544"/>
      <c r="K395" s="544"/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0:25" x14ac:dyDescent="0.35">
      <c r="J396" s="544"/>
      <c r="K396" s="544"/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0:25" x14ac:dyDescent="0.35">
      <c r="J397" s="544"/>
      <c r="K397" s="544"/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0:25" x14ac:dyDescent="0.35">
      <c r="J398" s="544"/>
      <c r="K398" s="544"/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0:25" x14ac:dyDescent="0.35">
      <c r="J399" s="544"/>
      <c r="K399" s="544"/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0:25" x14ac:dyDescent="0.35">
      <c r="J400" s="544"/>
      <c r="K400" s="544"/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0:25" x14ac:dyDescent="0.35">
      <c r="J401" s="544"/>
      <c r="K401" s="544"/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0:25" x14ac:dyDescent="0.35">
      <c r="J402" s="544"/>
      <c r="K402" s="544"/>
      <c r="L402" s="544"/>
      <c r="M402" s="544"/>
      <c r="N402" s="544"/>
      <c r="O402" s="544"/>
      <c r="P402" s="544"/>
      <c r="Q402" s="544"/>
      <c r="R402" s="544"/>
      <c r="S402" s="544"/>
      <c r="T402" s="544"/>
      <c r="U402" s="544"/>
      <c r="V402" s="544"/>
      <c r="W402" s="544"/>
      <c r="X402" s="544"/>
      <c r="Y402" s="185"/>
    </row>
    <row r="403" spans="10:25" x14ac:dyDescent="0.35">
      <c r="J403" s="544"/>
      <c r="K403" s="544"/>
      <c r="L403" s="544"/>
      <c r="M403" s="544"/>
      <c r="N403" s="544"/>
      <c r="O403" s="544"/>
      <c r="P403" s="544"/>
      <c r="Q403" s="544"/>
      <c r="R403" s="544"/>
      <c r="S403" s="544"/>
      <c r="T403" s="544"/>
      <c r="U403" s="544"/>
      <c r="V403" s="544"/>
      <c r="W403" s="544"/>
      <c r="X403" s="544"/>
      <c r="Y403" s="185"/>
    </row>
    <row r="404" spans="10:25" x14ac:dyDescent="0.35">
      <c r="J404" s="544"/>
      <c r="K404" s="544"/>
      <c r="L404" s="544"/>
      <c r="M404" s="544"/>
      <c r="N404" s="544"/>
      <c r="O404" s="544"/>
      <c r="P404" s="544"/>
      <c r="Q404" s="544"/>
      <c r="R404" s="544"/>
      <c r="S404" s="544"/>
      <c r="T404" s="544"/>
      <c r="U404" s="544"/>
      <c r="V404" s="544"/>
      <c r="W404" s="544"/>
      <c r="X404" s="544"/>
      <c r="Y404" s="185"/>
    </row>
    <row r="405" spans="10:25" x14ac:dyDescent="0.35">
      <c r="J405" s="544"/>
      <c r="K405" s="544"/>
      <c r="L405" s="544"/>
      <c r="M405" s="544"/>
      <c r="N405" s="544"/>
      <c r="O405" s="544"/>
      <c r="P405" s="544"/>
      <c r="Q405" s="544"/>
      <c r="R405" s="544"/>
      <c r="S405" s="544"/>
      <c r="T405" s="544"/>
      <c r="U405" s="544"/>
      <c r="V405" s="544"/>
      <c r="W405" s="544"/>
      <c r="X405" s="544"/>
      <c r="Y405" s="185"/>
    </row>
    <row r="406" spans="10:25" x14ac:dyDescent="0.35">
      <c r="J406" s="544"/>
      <c r="K406" s="544"/>
      <c r="L406" s="544"/>
      <c r="M406" s="544"/>
      <c r="N406" s="544"/>
      <c r="O406" s="544"/>
      <c r="P406" s="544"/>
      <c r="Q406" s="544"/>
      <c r="R406" s="544"/>
      <c r="S406" s="544"/>
      <c r="T406" s="544"/>
      <c r="U406" s="544"/>
      <c r="V406" s="544"/>
      <c r="W406" s="544"/>
      <c r="X406" s="544"/>
      <c r="Y406" s="185"/>
    </row>
    <row r="407" spans="10:25" x14ac:dyDescent="0.35">
      <c r="J407" s="544"/>
      <c r="K407" s="544"/>
      <c r="L407" s="544"/>
      <c r="M407" s="544"/>
      <c r="N407" s="544"/>
      <c r="O407" s="544"/>
      <c r="P407" s="544"/>
      <c r="Q407" s="544"/>
      <c r="R407" s="544"/>
      <c r="S407" s="544"/>
      <c r="T407" s="544"/>
      <c r="U407" s="544"/>
      <c r="V407" s="544"/>
      <c r="W407" s="544"/>
      <c r="X407" s="544"/>
      <c r="Y407" s="185"/>
    </row>
    <row r="408" spans="10:25" x14ac:dyDescent="0.35">
      <c r="J408" s="544"/>
      <c r="K408" s="544"/>
      <c r="L408" s="544"/>
      <c r="M408" s="544"/>
      <c r="N408" s="544"/>
      <c r="O408" s="544"/>
      <c r="P408" s="544"/>
      <c r="Q408" s="544"/>
      <c r="R408" s="544"/>
      <c r="S408" s="544"/>
      <c r="T408" s="544"/>
      <c r="U408" s="544"/>
      <c r="V408" s="544"/>
      <c r="W408" s="544"/>
      <c r="X408" s="544"/>
      <c r="Y408" s="185"/>
    </row>
    <row r="409" spans="10:25" x14ac:dyDescent="0.35">
      <c r="J409" s="544"/>
      <c r="K409" s="544"/>
      <c r="L409" s="544"/>
      <c r="M409" s="544"/>
      <c r="N409" s="544"/>
      <c r="O409" s="544"/>
      <c r="P409" s="544"/>
      <c r="Q409" s="544"/>
      <c r="R409" s="544"/>
      <c r="S409" s="544"/>
      <c r="T409" s="544"/>
      <c r="U409" s="544"/>
      <c r="V409" s="544"/>
      <c r="W409" s="544"/>
      <c r="X409" s="544"/>
      <c r="Y409" s="185"/>
    </row>
    <row r="410" spans="10:25" x14ac:dyDescent="0.35">
      <c r="J410" s="544"/>
      <c r="K410" s="544"/>
      <c r="L410" s="544"/>
      <c r="M410" s="544"/>
      <c r="N410" s="544"/>
      <c r="O410" s="544"/>
      <c r="P410" s="544"/>
      <c r="Q410" s="544"/>
      <c r="R410" s="544"/>
      <c r="S410" s="544"/>
      <c r="T410" s="544"/>
      <c r="U410" s="544"/>
      <c r="V410" s="544"/>
      <c r="W410" s="544"/>
      <c r="X410" s="544"/>
      <c r="Y410" s="185"/>
    </row>
    <row r="411" spans="10:25" x14ac:dyDescent="0.35">
      <c r="J411" s="544"/>
      <c r="K411" s="544"/>
      <c r="L411" s="544"/>
      <c r="M411" s="544"/>
      <c r="N411" s="544"/>
      <c r="O411" s="544"/>
      <c r="P411" s="544"/>
      <c r="Q411" s="544"/>
      <c r="R411" s="544"/>
      <c r="S411" s="544"/>
      <c r="T411" s="544"/>
      <c r="U411" s="544"/>
      <c r="V411" s="544"/>
      <c r="W411" s="544"/>
      <c r="X411" s="544"/>
      <c r="Y411" s="185"/>
    </row>
    <row r="412" spans="10:25" x14ac:dyDescent="0.35">
      <c r="J412" s="544"/>
      <c r="K412" s="544"/>
      <c r="L412" s="544"/>
      <c r="M412" s="544"/>
      <c r="N412" s="544"/>
      <c r="O412" s="544"/>
      <c r="P412" s="544"/>
      <c r="Q412" s="544"/>
      <c r="R412" s="544"/>
      <c r="S412" s="544"/>
      <c r="T412" s="544"/>
      <c r="U412" s="544"/>
      <c r="V412" s="544"/>
      <c r="W412" s="544"/>
      <c r="X412" s="544"/>
      <c r="Y412" s="185"/>
    </row>
    <row r="413" spans="10:25" x14ac:dyDescent="0.35">
      <c r="J413" s="544"/>
      <c r="K413" s="544"/>
      <c r="L413" s="544"/>
      <c r="M413" s="544"/>
      <c r="N413" s="544"/>
      <c r="O413" s="544"/>
      <c r="P413" s="544"/>
      <c r="Q413" s="544"/>
      <c r="R413" s="544"/>
      <c r="S413" s="544"/>
      <c r="T413" s="544"/>
      <c r="U413" s="544"/>
      <c r="V413" s="544"/>
      <c r="W413" s="544"/>
      <c r="X413" s="544"/>
      <c r="Y413" s="185"/>
    </row>
    <row r="414" spans="10:25" x14ac:dyDescent="0.35">
      <c r="J414" s="544"/>
      <c r="K414" s="544"/>
      <c r="L414" s="544"/>
      <c r="M414" s="544"/>
      <c r="N414" s="544"/>
      <c r="O414" s="544"/>
      <c r="P414" s="544"/>
      <c r="Q414" s="544"/>
      <c r="R414" s="544"/>
      <c r="S414" s="544"/>
      <c r="T414" s="544"/>
      <c r="U414" s="544"/>
      <c r="V414" s="544"/>
      <c r="W414" s="544"/>
      <c r="X414" s="544"/>
      <c r="Y414" s="185"/>
    </row>
    <row r="415" spans="10:25" x14ac:dyDescent="0.35">
      <c r="J415" s="544"/>
      <c r="K415" s="544"/>
      <c r="L415" s="544"/>
      <c r="M415" s="544"/>
      <c r="N415" s="544"/>
      <c r="O415" s="544"/>
      <c r="P415" s="544"/>
      <c r="Q415" s="544"/>
      <c r="R415" s="544"/>
      <c r="S415" s="544"/>
      <c r="T415" s="544"/>
      <c r="U415" s="544"/>
      <c r="V415" s="544"/>
      <c r="W415" s="544"/>
      <c r="X415" s="544"/>
      <c r="Y415" s="185"/>
    </row>
    <row r="416" spans="10:25" x14ac:dyDescent="0.35">
      <c r="J416" s="544"/>
      <c r="K416" s="544"/>
      <c r="L416" s="544"/>
      <c r="M416" s="544"/>
      <c r="N416" s="544"/>
      <c r="O416" s="544"/>
      <c r="P416" s="544"/>
      <c r="Q416" s="544"/>
      <c r="R416" s="544"/>
      <c r="S416" s="544"/>
      <c r="T416" s="544"/>
      <c r="U416" s="544"/>
      <c r="V416" s="544"/>
      <c r="W416" s="544"/>
      <c r="X416" s="544"/>
      <c r="Y416" s="185"/>
    </row>
    <row r="417" spans="10:25" x14ac:dyDescent="0.35">
      <c r="J417" s="544"/>
      <c r="K417" s="544"/>
      <c r="L417" s="544"/>
      <c r="M417" s="544"/>
      <c r="N417" s="544"/>
      <c r="O417" s="544"/>
      <c r="P417" s="544"/>
      <c r="Q417" s="544"/>
      <c r="R417" s="544"/>
      <c r="S417" s="544"/>
      <c r="T417" s="544"/>
      <c r="U417" s="544"/>
      <c r="V417" s="544"/>
      <c r="W417" s="544"/>
      <c r="X417" s="544"/>
      <c r="Y417" s="185"/>
    </row>
    <row r="418" spans="10:25" x14ac:dyDescent="0.35">
      <c r="J418" s="544"/>
      <c r="K418" s="544"/>
      <c r="L418" s="544"/>
      <c r="M418" s="544"/>
      <c r="N418" s="544"/>
      <c r="O418" s="544"/>
      <c r="P418" s="544"/>
      <c r="Q418" s="544"/>
      <c r="R418" s="544"/>
      <c r="S418" s="544"/>
      <c r="T418" s="544"/>
      <c r="U418" s="544"/>
      <c r="V418" s="544"/>
      <c r="W418" s="544"/>
      <c r="X418" s="544"/>
      <c r="Y418" s="185"/>
    </row>
    <row r="419" spans="10:25" x14ac:dyDescent="0.35">
      <c r="J419" s="544"/>
      <c r="K419" s="544"/>
      <c r="L419" s="544"/>
      <c r="M419" s="544"/>
      <c r="N419" s="544"/>
      <c r="O419" s="544"/>
      <c r="P419" s="544"/>
      <c r="Q419" s="544"/>
      <c r="R419" s="544"/>
      <c r="S419" s="544"/>
      <c r="T419" s="544"/>
      <c r="U419" s="544"/>
      <c r="V419" s="544"/>
      <c r="W419" s="544"/>
      <c r="X419" s="544"/>
      <c r="Y419" s="185"/>
    </row>
    <row r="420" spans="10:25" x14ac:dyDescent="0.35">
      <c r="J420" s="544"/>
      <c r="K420" s="544"/>
      <c r="L420" s="544"/>
      <c r="M420" s="544"/>
      <c r="N420" s="544"/>
      <c r="O420" s="544"/>
      <c r="P420" s="544"/>
      <c r="Q420" s="544"/>
      <c r="R420" s="544"/>
      <c r="S420" s="544"/>
      <c r="T420" s="544"/>
      <c r="U420" s="544"/>
      <c r="V420" s="544"/>
      <c r="W420" s="544"/>
      <c r="X420" s="544"/>
      <c r="Y420" s="185"/>
    </row>
    <row r="421" spans="10:25" x14ac:dyDescent="0.35">
      <c r="J421" s="544"/>
      <c r="K421" s="544"/>
      <c r="L421" s="544"/>
      <c r="M421" s="544"/>
      <c r="N421" s="544"/>
      <c r="O421" s="544"/>
      <c r="P421" s="544"/>
      <c r="Q421" s="544"/>
      <c r="R421" s="544"/>
      <c r="S421" s="544"/>
      <c r="T421" s="544"/>
      <c r="U421" s="544"/>
      <c r="V421" s="544"/>
      <c r="W421" s="544"/>
      <c r="X421" s="544"/>
      <c r="Y421" s="185"/>
    </row>
    <row r="422" spans="10:25" x14ac:dyDescent="0.35">
      <c r="J422" s="544"/>
      <c r="K422" s="544"/>
      <c r="L422" s="544"/>
      <c r="M422" s="544"/>
      <c r="N422" s="544"/>
      <c r="O422" s="544"/>
      <c r="P422" s="544"/>
      <c r="Q422" s="544"/>
      <c r="R422" s="544"/>
      <c r="S422" s="544"/>
      <c r="T422" s="544"/>
      <c r="U422" s="544"/>
      <c r="V422" s="544"/>
      <c r="W422" s="544"/>
      <c r="X422" s="544"/>
      <c r="Y422" s="185"/>
    </row>
    <row r="423" spans="10:25" x14ac:dyDescent="0.35">
      <c r="J423" s="544"/>
      <c r="K423" s="544"/>
      <c r="L423" s="544"/>
      <c r="M423" s="544"/>
      <c r="N423" s="544"/>
      <c r="O423" s="544"/>
      <c r="P423" s="544"/>
      <c r="Q423" s="544"/>
      <c r="R423" s="544"/>
      <c r="S423" s="544"/>
      <c r="T423" s="544"/>
      <c r="U423" s="544"/>
      <c r="V423" s="544"/>
      <c r="W423" s="544"/>
      <c r="X423" s="544"/>
      <c r="Y423" s="185"/>
    </row>
    <row r="424" spans="10:25" x14ac:dyDescent="0.35">
      <c r="J424" s="544"/>
      <c r="K424" s="544"/>
      <c r="L424" s="544"/>
      <c r="M424" s="544"/>
      <c r="N424" s="544"/>
      <c r="O424" s="544"/>
      <c r="P424" s="544"/>
      <c r="Q424" s="544"/>
      <c r="R424" s="544"/>
      <c r="S424" s="544"/>
      <c r="T424" s="544"/>
      <c r="U424" s="544"/>
      <c r="V424" s="544"/>
      <c r="W424" s="544"/>
      <c r="X424" s="544"/>
      <c r="Y424" s="185"/>
    </row>
    <row r="425" spans="10:25" x14ac:dyDescent="0.35">
      <c r="J425" s="544"/>
      <c r="K425" s="544"/>
      <c r="L425" s="544"/>
      <c r="M425" s="544"/>
      <c r="N425" s="544"/>
      <c r="O425" s="544"/>
      <c r="P425" s="544"/>
      <c r="Q425" s="544"/>
      <c r="R425" s="544"/>
      <c r="S425" s="544"/>
      <c r="T425" s="544"/>
      <c r="U425" s="544"/>
      <c r="V425" s="544"/>
      <c r="W425" s="544"/>
      <c r="X425" s="544"/>
      <c r="Y425" s="185"/>
    </row>
    <row r="426" spans="10:25" x14ac:dyDescent="0.35">
      <c r="J426" s="544"/>
      <c r="K426" s="544"/>
      <c r="L426" s="544"/>
      <c r="M426" s="544"/>
      <c r="N426" s="544"/>
      <c r="O426" s="544"/>
      <c r="P426" s="544"/>
      <c r="Q426" s="544"/>
      <c r="R426" s="544"/>
      <c r="S426" s="544"/>
      <c r="T426" s="544"/>
      <c r="U426" s="544"/>
      <c r="V426" s="544"/>
      <c r="W426" s="544"/>
      <c r="X426" s="544"/>
      <c r="Y426" s="185"/>
    </row>
    <row r="427" spans="10:25" x14ac:dyDescent="0.35">
      <c r="J427" s="544"/>
      <c r="K427" s="544"/>
      <c r="L427" s="544"/>
      <c r="M427" s="544"/>
      <c r="N427" s="544"/>
      <c r="O427" s="544"/>
      <c r="P427" s="544"/>
      <c r="Q427" s="544"/>
      <c r="R427" s="544"/>
      <c r="S427" s="544"/>
      <c r="T427" s="544"/>
      <c r="U427" s="544"/>
      <c r="V427" s="544"/>
      <c r="W427" s="544"/>
      <c r="X427" s="544"/>
      <c r="Y427" s="185"/>
    </row>
    <row r="428" spans="10:25" x14ac:dyDescent="0.35">
      <c r="J428" s="544"/>
      <c r="K428" s="544"/>
      <c r="L428" s="544"/>
      <c r="M428" s="544"/>
      <c r="N428" s="544"/>
      <c r="O428" s="544"/>
      <c r="P428" s="544"/>
      <c r="Q428" s="544"/>
      <c r="R428" s="544"/>
      <c r="S428" s="544"/>
      <c r="T428" s="544"/>
      <c r="U428" s="544"/>
      <c r="V428" s="544"/>
      <c r="W428" s="544"/>
      <c r="X428" s="544"/>
      <c r="Y428" s="185"/>
    </row>
    <row r="429" spans="10:25" x14ac:dyDescent="0.35">
      <c r="J429" s="544"/>
      <c r="K429" s="544"/>
      <c r="L429" s="544"/>
      <c r="M429" s="544"/>
      <c r="N429" s="544"/>
      <c r="O429" s="544"/>
      <c r="P429" s="544"/>
      <c r="Q429" s="544"/>
      <c r="R429" s="544"/>
      <c r="S429" s="544"/>
      <c r="T429" s="544"/>
      <c r="U429" s="544"/>
      <c r="V429" s="544"/>
      <c r="W429" s="544"/>
      <c r="X429" s="544"/>
      <c r="Y429" s="185"/>
    </row>
    <row r="430" spans="10:25" x14ac:dyDescent="0.35">
      <c r="J430" s="544"/>
      <c r="K430" s="544"/>
      <c r="L430" s="544"/>
      <c r="M430" s="544"/>
      <c r="N430" s="544"/>
      <c r="O430" s="544"/>
      <c r="P430" s="544"/>
      <c r="Q430" s="544"/>
      <c r="R430" s="544"/>
      <c r="S430" s="544"/>
      <c r="T430" s="544"/>
      <c r="U430" s="544"/>
      <c r="V430" s="544"/>
      <c r="W430" s="544"/>
      <c r="X430" s="544"/>
      <c r="Y430" s="185"/>
    </row>
    <row r="431" spans="10:25" x14ac:dyDescent="0.35">
      <c r="J431" s="544"/>
      <c r="K431" s="544"/>
      <c r="L431" s="544"/>
      <c r="M431" s="544"/>
      <c r="N431" s="544"/>
      <c r="O431" s="544"/>
      <c r="P431" s="544"/>
      <c r="Q431" s="544"/>
      <c r="R431" s="544"/>
      <c r="S431" s="544"/>
      <c r="T431" s="544"/>
      <c r="U431" s="544"/>
      <c r="V431" s="544"/>
      <c r="W431" s="544"/>
      <c r="X431" s="544"/>
      <c r="Y431" s="185"/>
    </row>
    <row r="432" spans="10:25" x14ac:dyDescent="0.35">
      <c r="J432" s="544"/>
      <c r="K432" s="544"/>
      <c r="L432" s="544"/>
      <c r="M432" s="544"/>
      <c r="N432" s="544"/>
      <c r="O432" s="544"/>
      <c r="P432" s="544"/>
      <c r="Q432" s="544"/>
      <c r="R432" s="544"/>
      <c r="S432" s="544"/>
      <c r="T432" s="544"/>
      <c r="U432" s="544"/>
      <c r="V432" s="544"/>
      <c r="W432" s="544"/>
      <c r="X432" s="544"/>
      <c r="Y432" s="185"/>
    </row>
    <row r="433" spans="10:25" x14ac:dyDescent="0.35">
      <c r="J433" s="544"/>
      <c r="K433" s="544"/>
      <c r="L433" s="544"/>
      <c r="M433" s="544"/>
      <c r="N433" s="544"/>
      <c r="O433" s="544"/>
      <c r="P433" s="544"/>
      <c r="Q433" s="544"/>
      <c r="R433" s="544"/>
      <c r="S433" s="544"/>
      <c r="T433" s="544"/>
      <c r="U433" s="544"/>
      <c r="V433" s="544"/>
      <c r="W433" s="544"/>
      <c r="X433" s="544"/>
      <c r="Y433" s="185"/>
    </row>
    <row r="434" spans="10:25" x14ac:dyDescent="0.35">
      <c r="J434" s="544"/>
      <c r="K434" s="544"/>
      <c r="L434" s="544"/>
      <c r="M434" s="544"/>
      <c r="N434" s="544"/>
      <c r="O434" s="544"/>
      <c r="P434" s="544"/>
      <c r="Q434" s="544"/>
      <c r="R434" s="544"/>
      <c r="S434" s="544"/>
      <c r="T434" s="544"/>
      <c r="U434" s="544"/>
      <c r="V434" s="544"/>
      <c r="W434" s="544"/>
      <c r="X434" s="544"/>
      <c r="Y434" s="185"/>
    </row>
    <row r="435" spans="10:25" x14ac:dyDescent="0.35">
      <c r="J435" s="544"/>
      <c r="K435" s="544"/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544"/>
      <c r="Y435" s="185"/>
    </row>
    <row r="436" spans="10:25" x14ac:dyDescent="0.35">
      <c r="J436" s="544"/>
      <c r="K436" s="544"/>
      <c r="X436" s="544"/>
      <c r="Y436" s="185"/>
    </row>
    <row r="437" spans="10:25" x14ac:dyDescent="0.35">
      <c r="X437" s="185"/>
      <c r="Y437" s="185"/>
    </row>
    <row r="438" spans="10:25" x14ac:dyDescent="0.35">
      <c r="Y438" s="185"/>
    </row>
    <row r="439" spans="10:25" x14ac:dyDescent="0.35">
      <c r="Y439" s="185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>
      <selection activeCell="M3" sqref="M3:N3"/>
    </sheetView>
  </sheetViews>
  <sheetFormatPr defaultColWidth="9.1328125" defaultRowHeight="12.85" x14ac:dyDescent="0.35"/>
  <cols>
    <col min="1" max="1" width="3.1328125" style="271" customWidth="1"/>
    <col min="2" max="16" width="5.73046875" style="271" customWidth="1"/>
    <col min="17" max="17" width="6.86328125" style="271" customWidth="1"/>
    <col min="18" max="20" width="5.73046875" style="271" customWidth="1"/>
    <col min="21" max="16384" width="9.1328125" style="271"/>
  </cols>
  <sheetData>
    <row r="1" spans="1:17" x14ac:dyDescent="0.35">
      <c r="A1" s="576"/>
      <c r="B1" s="271" t="s">
        <v>554</v>
      </c>
      <c r="D1" s="864" t="str">
        <f>__1_Bed</f>
        <v>Unit 1.2</v>
      </c>
      <c r="L1" s="271" t="s">
        <v>555</v>
      </c>
      <c r="M1" s="946">
        <f ca="1">TODAY()</f>
        <v>42736</v>
      </c>
      <c r="N1" s="947"/>
      <c r="O1" s="273">
        <f ca="1">NOW()</f>
        <v>42736.919156597221</v>
      </c>
      <c r="P1" s="273"/>
    </row>
    <row r="2" spans="1:17" ht="6.8" customHeight="1" x14ac:dyDescent="0.35"/>
    <row r="3" spans="1:17" ht="13.2" x14ac:dyDescent="0.4">
      <c r="B3" s="274" t="str">
        <f>NeoAfspr1700!B10</f>
        <v>Medische Afspraken</v>
      </c>
      <c r="J3" s="271" t="s">
        <v>371</v>
      </c>
      <c r="M3" s="948">
        <f>__0_PatNum</f>
        <v>123456</v>
      </c>
      <c r="N3" s="948"/>
      <c r="O3" s="275"/>
    </row>
    <row r="4" spans="1:17" ht="13.2" x14ac:dyDescent="0.4">
      <c r="B4" s="274" t="str">
        <f>NeoAfspr1700!B11</f>
        <v>Afdeling Neonatologie (IC-HC-MC)</v>
      </c>
      <c r="J4" s="271" t="str">
        <f>NeoAfspr1700!G11</f>
        <v>Naam:</v>
      </c>
      <c r="M4" s="276" t="str">
        <f>NeoAfspr1700!I11</f>
        <v>Test,  Test</v>
      </c>
      <c r="N4" s="277"/>
      <c r="O4" s="275"/>
    </row>
    <row r="5" spans="1:17" ht="13.2" x14ac:dyDescent="0.4">
      <c r="B5" s="274" t="str">
        <f>NeoAfspr1700!B12</f>
        <v>Divisie Obstetrie Neonatologie en Gynaecologie</v>
      </c>
      <c r="J5" s="271" t="str">
        <f>NeoAfspr1700!G12</f>
        <v>Geboortedatum:</v>
      </c>
      <c r="M5" s="949">
        <f>NeoAfspr1700!I12</f>
        <v>42736</v>
      </c>
      <c r="N5" s="949"/>
      <c r="O5" s="949"/>
      <c r="P5" s="949"/>
    </row>
    <row r="6" spans="1:17" ht="15.1" x14ac:dyDescent="0.4">
      <c r="A6" s="576"/>
      <c r="B6" s="278"/>
      <c r="C6" s="279"/>
      <c r="D6" s="279"/>
      <c r="E6" s="279"/>
      <c r="F6" s="279"/>
      <c r="G6" s="279"/>
      <c r="H6" s="279"/>
      <c r="I6" s="279"/>
      <c r="J6" s="271" t="str">
        <f ca="1">"Leeftijd: "&amp;Var_Neo_Dag&amp;" dag(-en)"</f>
        <v>Leeftijd: 1 dag(-en)</v>
      </c>
      <c r="N6" s="279" t="s">
        <v>556</v>
      </c>
      <c r="O6" s="279" t="str">
        <f>NeoAfspr1700!H13&amp;" weken en "&amp;NeoAfspr1700!J13&amp;" dagen"</f>
        <v>30 weken en 0 dagen</v>
      </c>
      <c r="Q6" s="279"/>
    </row>
    <row r="7" spans="1:17" ht="9.0500000000000007" customHeight="1" x14ac:dyDescent="0.4">
      <c r="B7" s="280"/>
      <c r="C7" s="281"/>
      <c r="D7" s="281"/>
      <c r="E7" s="281"/>
      <c r="F7" s="281"/>
      <c r="G7" s="281"/>
      <c r="H7" s="281"/>
      <c r="I7" s="281"/>
      <c r="J7" s="281"/>
      <c r="K7" s="281"/>
      <c r="L7" s="281"/>
      <c r="M7" s="281"/>
      <c r="N7" s="281"/>
      <c r="O7" s="282"/>
      <c r="P7" s="282"/>
      <c r="Q7" s="281"/>
    </row>
    <row r="8" spans="1:17" x14ac:dyDescent="0.35">
      <c r="P8" s="283" t="s">
        <v>557</v>
      </c>
      <c r="Q8" s="284"/>
    </row>
    <row r="9" spans="1:17" x14ac:dyDescent="0.35">
      <c r="B9" s="271" t="str">
        <f>NeoAfspr1700!B14</f>
        <v>Datum:</v>
      </c>
      <c r="D9" s="950">
        <f>NeoAfspr1700!C14</f>
        <v>42736</v>
      </c>
      <c r="E9" s="950"/>
      <c r="F9" s="947"/>
      <c r="I9" s="271" t="str">
        <f>NeoAfspr1700!G16</f>
        <v>Gewicht:</v>
      </c>
      <c r="K9" s="271" t="str">
        <f>NeoAfspr1700!H16</f>
        <v>10 kg</v>
      </c>
      <c r="P9" s="283" t="s">
        <v>558</v>
      </c>
      <c r="Q9" s="284"/>
    </row>
    <row r="10" spans="1:17" x14ac:dyDescent="0.35">
      <c r="B10" s="271" t="str">
        <f>NeoAfspr1700!B15</f>
        <v>Bed:</v>
      </c>
      <c r="F10" s="271">
        <f>_Neo_InfB_Arts</f>
        <v>0</v>
      </c>
      <c r="I10" s="951" t="str">
        <f ca="1">"Leeftijd: "&amp;NeoAfspr1700!$H$15</f>
        <v>Leeftijd: 30 weken en 0 dag(-en)</v>
      </c>
      <c r="J10" s="947"/>
      <c r="K10" s="947"/>
      <c r="L10" s="947"/>
      <c r="M10" s="947"/>
      <c r="N10" s="947"/>
      <c r="O10" s="952"/>
      <c r="P10" s="283"/>
      <c r="Q10" s="284"/>
    </row>
    <row r="11" spans="1:17" x14ac:dyDescent="0.35">
      <c r="B11" s="281" t="s">
        <v>559</v>
      </c>
      <c r="C11" s="281"/>
      <c r="D11" s="281"/>
      <c r="E11" s="281"/>
      <c r="F11" s="281"/>
      <c r="G11" s="281"/>
      <c r="H11" s="281"/>
      <c r="I11" s="281"/>
      <c r="J11" s="281"/>
      <c r="K11" s="281"/>
      <c r="L11" s="281"/>
      <c r="M11" s="281"/>
      <c r="N11" s="281"/>
      <c r="O11" s="281"/>
      <c r="P11" s="283"/>
      <c r="Q11" s="284"/>
    </row>
    <row r="12" spans="1:17" x14ac:dyDescent="0.35">
      <c r="P12" s="283"/>
      <c r="Q12" s="284"/>
    </row>
    <row r="13" spans="1:17" ht="13.2" x14ac:dyDescent="0.4">
      <c r="B13" s="285" t="str">
        <f>NeoAfspr1700!B18</f>
        <v>Totale vochtintake</v>
      </c>
      <c r="C13" s="279"/>
      <c r="D13" s="279"/>
      <c r="E13" s="279"/>
      <c r="F13" s="286">
        <f ca="1">NeoAfspr1700!E18</f>
        <v>0</v>
      </c>
      <c r="G13" s="279" t="str">
        <f>NeoAfspr1700!F18</f>
        <v>ml/ kg/ 24 uur</v>
      </c>
      <c r="H13" s="279"/>
      <c r="I13" s="279"/>
      <c r="J13" s="271" t="str">
        <f ca="1">"= "&amp;NeoBer1700!K47&amp;" ml"</f>
        <v>= 0 ml</v>
      </c>
      <c r="P13" s="283"/>
      <c r="Q13" s="284"/>
    </row>
    <row r="14" spans="1:17" ht="13.2" x14ac:dyDescent="0.4">
      <c r="B14" s="285"/>
      <c r="C14" s="279"/>
      <c r="D14" s="279"/>
      <c r="E14" s="279"/>
      <c r="F14" s="286"/>
      <c r="G14" s="279"/>
      <c r="H14" s="279"/>
      <c r="I14" s="279"/>
      <c r="P14" s="618"/>
      <c r="Q14" s="619"/>
    </row>
    <row r="15" spans="1:17" ht="13.2" x14ac:dyDescent="0.4">
      <c r="B15" s="285"/>
      <c r="C15" s="279"/>
      <c r="D15" s="279"/>
      <c r="E15" s="279"/>
      <c r="F15" s="286"/>
      <c r="G15" s="279"/>
      <c r="H15" s="279"/>
      <c r="I15" s="279"/>
      <c r="J15" s="277" t="s">
        <v>1044</v>
      </c>
      <c r="P15" s="618"/>
      <c r="Q15" s="619"/>
    </row>
    <row r="16" spans="1:17" ht="13.2" x14ac:dyDescent="0.4">
      <c r="B16" s="274" t="str">
        <f>NeoAfspr1700!H21</f>
        <v>Voeding:</v>
      </c>
      <c r="E16" s="271">
        <f>INDEX(tbl_Neo_Pos,NeoBer1700!D14,1)</f>
        <v>0</v>
      </c>
      <c r="I16" s="271" t="str">
        <f>IF(OR(J16&lt;&gt;0,J17&lt;&gt;0,J18&lt;&gt;0,J19&lt;&gt;0,J20&lt;&gt;0),"met","")</f>
        <v>met</v>
      </c>
      <c r="J16" s="271" t="str">
        <f>IF(NeoBer1700!K52=0,"","BMF in MM")</f>
        <v/>
      </c>
      <c r="M16" s="277">
        <f>IF(J16&lt;&gt;0,NeoBer1700!K52,0)</f>
        <v>0</v>
      </c>
      <c r="N16" s="271" t="str">
        <f>IF(M16&lt;&gt;0,"%","")</f>
        <v/>
      </c>
      <c r="P16" s="618"/>
      <c r="Q16" s="619"/>
    </row>
    <row r="17" spans="1:17" ht="13.2" x14ac:dyDescent="0.4">
      <c r="B17" s="287" t="str">
        <f>NeoAfspr1700!D21</f>
        <v>Hoeveelheid:</v>
      </c>
      <c r="E17" s="276" t="str">
        <f>NeoAfspr1700!$E$21</f>
        <v/>
      </c>
      <c r="F17" s="271" t="str">
        <f>NeoAfspr1700!F21</f>
        <v>maal</v>
      </c>
      <c r="G17" s="277" t="str">
        <f>NeoAfspr1700!G21</f>
        <v/>
      </c>
      <c r="J17" s="271">
        <f>INDEX(tbl_Neo_ToevoegingenMMPrint,NeoBer1700!B53,1)</f>
        <v>0</v>
      </c>
      <c r="M17" s="277">
        <f>IF(J17&lt;&gt;0,NeoBer1700!K53,0)</f>
        <v>0</v>
      </c>
      <c r="N17" s="271" t="str">
        <f t="shared" ref="N17:N26" si="0">IF(M17&lt;&gt;0,"%","")</f>
        <v/>
      </c>
      <c r="P17" s="618"/>
      <c r="Q17" s="619"/>
    </row>
    <row r="18" spans="1:17" ht="13.2" x14ac:dyDescent="0.4">
      <c r="C18" s="288" t="str">
        <f>IF(E18="","","en")</f>
        <v/>
      </c>
      <c r="E18" s="276" t="str">
        <f>IF(NeoAfspr1700!G22&lt;&gt;"0 ml",NeoAfspr1700!$E$22,"")</f>
        <v/>
      </c>
      <c r="F18" s="271" t="str">
        <f>IF(NeoAfspr1700!G22&lt;&gt;"0 ml",NeoAfspr1700!F22,"")</f>
        <v>maal</v>
      </c>
      <c r="G18" s="277" t="str">
        <f>IF(NeoAfspr1700!G22&lt;&gt;"0 ml",NeoAfspr1700!G22,"")</f>
        <v/>
      </c>
      <c r="J18" s="271">
        <f>INDEX(tbl_Neo_ToevoegingenMMPrint,NeoBer1700!B54,1)</f>
        <v>0</v>
      </c>
      <c r="M18" s="277">
        <f>IF(J18&lt;&gt;0,NeoBer1700!K54,0)</f>
        <v>0</v>
      </c>
      <c r="N18" s="271" t="str">
        <f t="shared" si="0"/>
        <v/>
      </c>
      <c r="P18" s="618"/>
      <c r="Q18" s="619"/>
    </row>
    <row r="19" spans="1:17" ht="13.2" x14ac:dyDescent="0.4">
      <c r="J19" s="271">
        <f>INDEX(tbl_Neo_ToevoegingenMMPrint,NeoBer1700!B55,1)</f>
        <v>0</v>
      </c>
      <c r="M19" s="277">
        <f>IF(J19&lt;&gt;0,NeoBer1700!K55,0)</f>
        <v>0</v>
      </c>
      <c r="N19" s="271" t="str">
        <f t="shared" si="0"/>
        <v/>
      </c>
      <c r="P19" s="618"/>
      <c r="Q19" s="619"/>
    </row>
    <row r="20" spans="1:17" ht="13.2" x14ac:dyDescent="0.4">
      <c r="B20" s="285"/>
      <c r="C20" s="279"/>
      <c r="D20" s="279"/>
      <c r="E20" s="279"/>
      <c r="F20" s="286"/>
      <c r="G20" s="279"/>
      <c r="H20" s="279"/>
      <c r="I20" s="279"/>
      <c r="J20" s="271">
        <f>INDEX(tbl_Neo_ToevoegingenMMPrint,NeoBer1700!B56,1)</f>
        <v>0</v>
      </c>
      <c r="K20" s="279"/>
      <c r="L20" s="289"/>
      <c r="M20" s="277">
        <f>IF(J20&lt;&gt;0,NeoBer1700!K56,0)</f>
        <v>0</v>
      </c>
      <c r="N20" s="271" t="str">
        <f t="shared" si="0"/>
        <v/>
      </c>
      <c r="P20" s="618"/>
      <c r="Q20" s="619"/>
    </row>
    <row r="21" spans="1:17" ht="13.2" x14ac:dyDescent="0.4">
      <c r="B21" s="277"/>
      <c r="P21" s="283"/>
      <c r="Q21" s="284"/>
    </row>
    <row r="22" spans="1:17" ht="13.2" x14ac:dyDescent="0.4">
      <c r="B22" s="277"/>
      <c r="I22" s="279"/>
      <c r="J22" s="277" t="s">
        <v>1045</v>
      </c>
      <c r="P22" s="618"/>
      <c r="Q22" s="619"/>
    </row>
    <row r="23" spans="1:17" ht="13.2" x14ac:dyDescent="0.4">
      <c r="B23" s="277"/>
      <c r="I23" s="271" t="str">
        <f>IF(OR(J23&lt;&gt;0,J24&lt;&gt;0,J25&lt;&gt;0,J26&lt;&gt;0),"met","")</f>
        <v/>
      </c>
      <c r="J23" s="271">
        <f>INDEX(tbl_Neo_ToevoegingenKVPrint,NeoBer1700!B58,1)</f>
        <v>0</v>
      </c>
      <c r="M23" s="277">
        <f>IF(J23&lt;&gt;0,NeoBer1700!K58,0)</f>
        <v>0</v>
      </c>
      <c r="N23" s="271" t="str">
        <f t="shared" si="0"/>
        <v/>
      </c>
      <c r="P23" s="618"/>
      <c r="Q23" s="619"/>
    </row>
    <row r="24" spans="1:17" ht="13.2" x14ac:dyDescent="0.4">
      <c r="B24" s="277"/>
      <c r="J24" s="271">
        <f>INDEX(tbl_Neo_ToevoegingenKVPrint,NeoBer1700!B59,1)</f>
        <v>0</v>
      </c>
      <c r="M24" s="277">
        <f>IF(J24&lt;&gt;0,NeoBer1700!K59,0)</f>
        <v>0</v>
      </c>
      <c r="N24" s="271" t="str">
        <f t="shared" si="0"/>
        <v/>
      </c>
      <c r="P24" s="618"/>
      <c r="Q24" s="619"/>
    </row>
    <row r="25" spans="1:17" ht="13.2" x14ac:dyDescent="0.4">
      <c r="J25" s="271">
        <f>INDEX(tbl_Neo_ToevoegingenKVPrint,NeoBer1700!B60,1)</f>
        <v>0</v>
      </c>
      <c r="M25" s="277">
        <f>IF(J25&lt;&gt;0,NeoBer1700!K60,0)</f>
        <v>0</v>
      </c>
      <c r="N25" s="271" t="str">
        <f t="shared" si="0"/>
        <v/>
      </c>
      <c r="P25" s="283"/>
      <c r="Q25" s="284"/>
    </row>
    <row r="26" spans="1:17" ht="13.2" x14ac:dyDescent="0.4">
      <c r="J26" s="271">
        <f>INDEX(tbl_Neo_ToevoegingenKVPrint,NeoBer1700!B61,1)</f>
        <v>0</v>
      </c>
      <c r="M26" s="277">
        <f>IF(J26&lt;&gt;0,NeoBer1700!K61,0)</f>
        <v>0</v>
      </c>
      <c r="N26" s="271" t="str">
        <f t="shared" si="0"/>
        <v/>
      </c>
      <c r="P26" s="283"/>
      <c r="Q26" s="284"/>
    </row>
    <row r="27" spans="1:17" x14ac:dyDescent="0.35">
      <c r="P27" s="283"/>
      <c r="Q27" s="284"/>
    </row>
    <row r="28" spans="1:17" x14ac:dyDescent="0.35">
      <c r="B28" s="290" t="str">
        <f>IF(NeoBer1700!J14=1,"De voeding is extra","")</f>
        <v>De voeding is extra</v>
      </c>
      <c r="C28" s="281"/>
      <c r="D28" s="281"/>
      <c r="E28" s="281"/>
      <c r="F28" s="281"/>
      <c r="G28" s="281"/>
      <c r="H28" s="281"/>
      <c r="I28" s="281"/>
      <c r="J28" s="281"/>
      <c r="K28" s="281"/>
      <c r="L28" s="281"/>
      <c r="M28" s="281"/>
      <c r="N28" s="281"/>
      <c r="O28" s="281"/>
      <c r="P28" s="291"/>
      <c r="Q28" s="292"/>
    </row>
    <row r="29" spans="1:17" x14ac:dyDescent="0.35">
      <c r="P29" s="283"/>
      <c r="Q29" s="284"/>
    </row>
    <row r="30" spans="1:17" ht="13.2" x14ac:dyDescent="0.4">
      <c r="B30" s="274" t="str">
        <f>NeoAfspr1700!B28</f>
        <v>Infuus/parenterale voeding:</v>
      </c>
      <c r="G30" s="277">
        <f ca="1">NeoAfspr1700!E28</f>
        <v>0</v>
      </c>
      <c r="H30" s="271" t="str">
        <f>NeoAfspr1700!F28</f>
        <v>ml/ 24 uur</v>
      </c>
      <c r="O30" s="284"/>
      <c r="P30" s="279"/>
      <c r="Q30" s="284"/>
    </row>
    <row r="31" spans="1:17" x14ac:dyDescent="0.35">
      <c r="O31" s="284"/>
      <c r="P31" s="293" t="s">
        <v>560</v>
      </c>
      <c r="Q31" s="284"/>
    </row>
    <row r="32" spans="1:17" ht="15.95" customHeight="1" x14ac:dyDescent="0.4">
      <c r="A32" s="271">
        <v>1</v>
      </c>
      <c r="B32" s="294" t="str">
        <f>IF(_Neo_InfB_ArtLijn&gt;0,NeoAfspr1700!B30,"")</f>
        <v/>
      </c>
      <c r="C32" s="294"/>
      <c r="D32" s="294"/>
      <c r="E32" s="294"/>
      <c r="F32" s="294"/>
      <c r="G32" s="294"/>
      <c r="H32" s="294"/>
      <c r="I32" s="294"/>
      <c r="J32" s="294"/>
      <c r="K32" s="295" t="str">
        <f>IF(NeoAfspr1700!G30&lt;&gt; "0 ml/uur",NeoAfspr1700!G30,"")</f>
        <v/>
      </c>
      <c r="L32" s="294"/>
      <c r="M32" s="294"/>
      <c r="N32" s="294"/>
      <c r="O32" s="296"/>
      <c r="P32" s="297" t="str">
        <f>IF(B32="","",IF(NeoBer1700!J18,"ja","nee"))</f>
        <v/>
      </c>
      <c r="Q32" s="298"/>
    </row>
    <row r="33" spans="1:17" ht="15.95" customHeight="1" x14ac:dyDescent="0.4">
      <c r="A33" s="271">
        <v>2</v>
      </c>
      <c r="B33" s="299">
        <f>INDEX(tbl_Neo_MedIV,NeoBer1700!B20,1)</f>
        <v>0</v>
      </c>
      <c r="C33" s="294"/>
      <c r="D33" s="299"/>
      <c r="E33" s="300" t="str">
        <f>NeoAfspr1700!C32</f>
        <v/>
      </c>
      <c r="F33" s="299"/>
      <c r="G33" s="301" t="str">
        <f>NeoAfspr1700!D32</f>
        <v/>
      </c>
      <c r="H33" s="299"/>
      <c r="I33" s="302">
        <f>INDEX(tbl_Neo_Opl,NeoBer1700!E20,1)</f>
        <v>0</v>
      </c>
      <c r="J33" s="299"/>
      <c r="K33" s="300" t="str">
        <f>NeoAfspr1700!G32</f>
        <v/>
      </c>
      <c r="L33" s="299"/>
      <c r="M33" s="303" t="str">
        <f>NeoAfspr1700!H32</f>
        <v/>
      </c>
      <c r="N33" s="304">
        <f>INDEX(tbl_Neo_Dose,NeoBer1700!G20,1)</f>
        <v>0</v>
      </c>
      <c r="O33" s="305"/>
      <c r="P33" s="302" t="str">
        <f>IF(B33&lt;&gt;0,IF(NeoBer1700!J20,"ja","nee"),"")</f>
        <v/>
      </c>
      <c r="Q33" s="306"/>
    </row>
    <row r="34" spans="1:17" ht="15.95" customHeight="1" x14ac:dyDescent="0.4">
      <c r="A34" s="271">
        <v>3</v>
      </c>
      <c r="B34" s="299">
        <f>INDEX(tbl_Neo_MedIV,NeoBer1700!B21,1)</f>
        <v>0</v>
      </c>
      <c r="C34" s="294"/>
      <c r="D34" s="299"/>
      <c r="E34" s="300" t="str">
        <f>NeoAfspr1700!C33</f>
        <v/>
      </c>
      <c r="F34" s="299"/>
      <c r="G34" s="301" t="str">
        <f>NeoAfspr1700!D33</f>
        <v/>
      </c>
      <c r="H34" s="299"/>
      <c r="I34" s="302">
        <f>INDEX(tbl_Neo_Opl,NeoBer1700!E21,1)</f>
        <v>0</v>
      </c>
      <c r="J34" s="299"/>
      <c r="K34" s="300" t="str">
        <f>NeoAfspr1700!G33</f>
        <v/>
      </c>
      <c r="L34" s="299"/>
      <c r="M34" s="303" t="str">
        <f>NeoAfspr1700!H33</f>
        <v/>
      </c>
      <c r="N34" s="304">
        <f>INDEX(tbl_Neo_Dose,NeoBer1700!G21,1)</f>
        <v>0</v>
      </c>
      <c r="O34" s="305"/>
      <c r="P34" s="302" t="str">
        <f>IF(B34&lt;&gt;0,IF(NeoBer1700!J21,"ja","nee"),"")</f>
        <v/>
      </c>
      <c r="Q34" s="298"/>
    </row>
    <row r="35" spans="1:17" ht="15.95" customHeight="1" x14ac:dyDescent="0.4">
      <c r="A35" s="271">
        <v>4</v>
      </c>
      <c r="B35" s="299">
        <f>INDEX(tbl_Neo_MedIV,NeoBer1700!B22,1)</f>
        <v>0</v>
      </c>
      <c r="C35" s="294"/>
      <c r="D35" s="299"/>
      <c r="E35" s="300" t="str">
        <f>NeoAfspr1700!C34</f>
        <v/>
      </c>
      <c r="F35" s="299"/>
      <c r="G35" s="301" t="str">
        <f>NeoAfspr1700!D34</f>
        <v/>
      </c>
      <c r="H35" s="299"/>
      <c r="I35" s="302">
        <f>INDEX(tbl_Neo_Opl,NeoBer1700!E22,1)</f>
        <v>0</v>
      </c>
      <c r="J35" s="299"/>
      <c r="K35" s="300" t="str">
        <f>NeoAfspr1700!G34</f>
        <v/>
      </c>
      <c r="L35" s="299"/>
      <c r="M35" s="303" t="str">
        <f>NeoAfspr1700!H34</f>
        <v/>
      </c>
      <c r="N35" s="304">
        <f>INDEX(tbl_Neo_Dose,NeoBer1700!G22,1)</f>
        <v>0</v>
      </c>
      <c r="O35" s="305"/>
      <c r="P35" s="302" t="str">
        <f>IF(B35&lt;&gt;0,IF(NeoBer1700!J22,"ja","nee"),"")</f>
        <v/>
      </c>
      <c r="Q35" s="306"/>
    </row>
    <row r="36" spans="1:17" ht="15.95" customHeight="1" x14ac:dyDescent="0.4">
      <c r="A36" s="271">
        <v>5</v>
      </c>
      <c r="B36" s="299">
        <f>INDEX(tbl_Neo_MedIV,NeoBer1700!B23,1)</f>
        <v>0</v>
      </c>
      <c r="C36" s="294"/>
      <c r="D36" s="299"/>
      <c r="E36" s="300" t="str">
        <f>NeoAfspr1700!C35</f>
        <v/>
      </c>
      <c r="F36" s="299"/>
      <c r="G36" s="301" t="str">
        <f>NeoAfspr1700!D35</f>
        <v/>
      </c>
      <c r="H36" s="299"/>
      <c r="I36" s="302">
        <f>INDEX(tbl_Neo_Opl,NeoBer1700!E23,1)</f>
        <v>0</v>
      </c>
      <c r="J36" s="299"/>
      <c r="K36" s="300" t="str">
        <f>NeoAfspr1700!G35</f>
        <v/>
      </c>
      <c r="L36" s="299"/>
      <c r="M36" s="303" t="str">
        <f>NeoAfspr1700!H35</f>
        <v/>
      </c>
      <c r="N36" s="304">
        <f>INDEX(tbl_Neo_Dose,NeoBer1700!G23,1)</f>
        <v>0</v>
      </c>
      <c r="O36" s="305"/>
      <c r="P36" s="302" t="str">
        <f>IF(B36&lt;&gt;0,IF(NeoBer1700!J23,"ja","nee"),"")</f>
        <v/>
      </c>
      <c r="Q36" s="298"/>
    </row>
    <row r="37" spans="1:17" ht="15.95" customHeight="1" x14ac:dyDescent="0.4">
      <c r="A37" s="271">
        <v>6</v>
      </c>
      <c r="B37" s="299">
        <f>INDEX(tbl_Neo_MedIV,NeoBer1700!B24,1)</f>
        <v>0</v>
      </c>
      <c r="C37" s="294"/>
      <c r="D37" s="299"/>
      <c r="E37" s="300" t="str">
        <f>NeoAfspr1700!C36</f>
        <v/>
      </c>
      <c r="F37" s="299"/>
      <c r="G37" s="301" t="str">
        <f>NeoAfspr1700!D36</f>
        <v/>
      </c>
      <c r="H37" s="299"/>
      <c r="I37" s="302">
        <f>INDEX(tbl_Neo_Opl,NeoBer1700!E24,1)</f>
        <v>0</v>
      </c>
      <c r="J37" s="299"/>
      <c r="K37" s="300" t="str">
        <f>NeoAfspr1700!G36</f>
        <v/>
      </c>
      <c r="L37" s="299"/>
      <c r="M37" s="303" t="str">
        <f>NeoAfspr1700!H36</f>
        <v/>
      </c>
      <c r="N37" s="304">
        <f>INDEX(tbl_Neo_Dose,NeoBer1700!G24,1)</f>
        <v>0</v>
      </c>
      <c r="O37" s="305"/>
      <c r="P37" s="302" t="str">
        <f>IF(B37&lt;&gt;0,IF(NeoBer1700!J24,"ja","nee"),"")</f>
        <v/>
      </c>
      <c r="Q37" s="306"/>
    </row>
    <row r="38" spans="1:17" ht="15.95" customHeight="1" x14ac:dyDescent="0.4">
      <c r="A38" s="271">
        <v>7</v>
      </c>
      <c r="B38" s="299">
        <f>INDEX(tbl_Neo_MedIV,NeoBer1700!B25,1)</f>
        <v>0</v>
      </c>
      <c r="C38" s="294"/>
      <c r="D38" s="299"/>
      <c r="E38" s="300" t="str">
        <f>NeoAfspr1700!C37</f>
        <v/>
      </c>
      <c r="F38" s="299"/>
      <c r="G38" s="301" t="str">
        <f>NeoAfspr1700!D37</f>
        <v/>
      </c>
      <c r="H38" s="299"/>
      <c r="I38" s="302">
        <f>INDEX(tbl_Neo_Opl,NeoBer1700!E25,1)</f>
        <v>0</v>
      </c>
      <c r="J38" s="299"/>
      <c r="K38" s="300" t="str">
        <f>NeoAfspr1700!G37</f>
        <v/>
      </c>
      <c r="L38" s="299"/>
      <c r="M38" s="303" t="str">
        <f>NeoAfspr1700!H37</f>
        <v/>
      </c>
      <c r="N38" s="304">
        <f>INDEX(tbl_Neo_Dose,NeoBer1700!G25,1)</f>
        <v>0</v>
      </c>
      <c r="O38" s="305"/>
      <c r="P38" s="302" t="str">
        <f>IF(B38&lt;&gt;0,IF(NeoBer1700!J25,"ja","nee"),"")</f>
        <v/>
      </c>
      <c r="Q38" s="298"/>
    </row>
    <row r="39" spans="1:17" ht="15.95" customHeight="1" x14ac:dyDescent="0.4">
      <c r="A39" s="271">
        <v>8</v>
      </c>
      <c r="B39" s="299">
        <f>INDEX(tbl_Neo_MedIV,NeoBer1700!B26,1)</f>
        <v>0</v>
      </c>
      <c r="C39" s="294"/>
      <c r="D39" s="299"/>
      <c r="E39" s="300" t="str">
        <f>NeoAfspr1700!C38</f>
        <v/>
      </c>
      <c r="F39" s="299"/>
      <c r="G39" s="301" t="str">
        <f>NeoAfspr1700!D38</f>
        <v/>
      </c>
      <c r="H39" s="299"/>
      <c r="I39" s="302">
        <f>INDEX(tbl_Neo_Opl,NeoBer1700!E26,1)</f>
        <v>0</v>
      </c>
      <c r="J39" s="299"/>
      <c r="K39" s="300" t="str">
        <f>NeoAfspr1700!G38</f>
        <v/>
      </c>
      <c r="L39" s="299"/>
      <c r="M39" s="303" t="str">
        <f>NeoAfspr1700!H38</f>
        <v/>
      </c>
      <c r="N39" s="304">
        <f>INDEX(tbl_Neo_Dose,NeoBer1700!G26,1)</f>
        <v>0</v>
      </c>
      <c r="O39" s="305"/>
      <c r="P39" s="302" t="str">
        <f>IF(B39&lt;&gt;0,IF(NeoBer1700!J26,"ja","nee"),"")</f>
        <v/>
      </c>
      <c r="Q39" s="306"/>
    </row>
    <row r="40" spans="1:17" ht="15.95" customHeight="1" x14ac:dyDescent="0.4">
      <c r="A40" s="271">
        <v>9</v>
      </c>
      <c r="B40" s="299">
        <f>INDEX(tbl_Neo_MedIV,NeoBer1700!B27,1)</f>
        <v>0</v>
      </c>
      <c r="C40" s="294"/>
      <c r="D40" s="299"/>
      <c r="E40" s="300" t="str">
        <f>NeoAfspr1700!C39</f>
        <v/>
      </c>
      <c r="F40" s="299"/>
      <c r="G40" s="301" t="str">
        <f>NeoAfspr1700!D39</f>
        <v/>
      </c>
      <c r="H40" s="299"/>
      <c r="I40" s="302">
        <f>INDEX(tbl_Neo_Opl,NeoBer1700!E27,1)</f>
        <v>0</v>
      </c>
      <c r="J40" s="299"/>
      <c r="K40" s="300" t="str">
        <f>NeoAfspr1700!G39</f>
        <v/>
      </c>
      <c r="L40" s="299"/>
      <c r="M40" s="303" t="str">
        <f>NeoAfspr1700!H39</f>
        <v/>
      </c>
      <c r="N40" s="304">
        <f>INDEX(tbl_Neo_Dose,NeoBer1700!G27,1)</f>
        <v>0</v>
      </c>
      <c r="O40" s="305"/>
      <c r="P40" s="302" t="str">
        <f>IF(B40&lt;&gt;0,IF(NeoBer1700!J27,"ja","nee"),"")</f>
        <v/>
      </c>
      <c r="Q40" s="298"/>
    </row>
    <row r="41" spans="1:17" ht="15.95" customHeight="1" x14ac:dyDescent="0.4">
      <c r="A41" s="271">
        <v>10</v>
      </c>
      <c r="B41" s="299">
        <f>INDEX(tbl_Neo_MedIV,NeoBer1700!B28,1)</f>
        <v>0</v>
      </c>
      <c r="C41" s="294"/>
      <c r="D41" s="299"/>
      <c r="E41" s="300" t="str">
        <f>NeoAfspr1700!C40</f>
        <v/>
      </c>
      <c r="F41" s="299"/>
      <c r="G41" s="301" t="str">
        <f>NeoAfspr1700!D40</f>
        <v/>
      </c>
      <c r="H41" s="299"/>
      <c r="I41" s="302">
        <f>INDEX(tbl_Neo_Opl,NeoBer1700!E28,1)</f>
        <v>0</v>
      </c>
      <c r="J41" s="299"/>
      <c r="K41" s="300" t="str">
        <f>NeoAfspr1700!G40</f>
        <v/>
      </c>
      <c r="L41" s="299"/>
      <c r="M41" s="303" t="str">
        <f>NeoAfspr1700!H40</f>
        <v/>
      </c>
      <c r="N41" s="304">
        <f>INDEX(tbl_Neo_Dose,NeoBer1700!G28,1)</f>
        <v>0</v>
      </c>
      <c r="O41" s="305"/>
      <c r="P41" s="302" t="str">
        <f>IF(B41&lt;&gt;0,IF(NeoBer1700!J28,"ja","nee"),"")</f>
        <v/>
      </c>
      <c r="Q41" s="306"/>
    </row>
    <row r="42" spans="1:17" ht="15.95" customHeight="1" x14ac:dyDescent="0.4">
      <c r="A42" s="271">
        <v>11</v>
      </c>
      <c r="B42" s="299" t="str">
        <f>IF(I42&lt;&gt;"",NeoAfspr1700!B42,"")</f>
        <v>Zijlijn 1</v>
      </c>
      <c r="C42" s="294"/>
      <c r="D42" s="299"/>
      <c r="E42" s="300"/>
      <c r="F42" s="299"/>
      <c r="G42" s="300"/>
      <c r="H42" s="299"/>
      <c r="I42" s="302">
        <f>IFERROR(INDEX(tbl_Neo_Opl,NeoBer1700!E29,1),"")</f>
        <v>0</v>
      </c>
      <c r="J42" s="299"/>
      <c r="K42" s="300" t="str">
        <f>NeoAfspr1700!G42</f>
        <v/>
      </c>
      <c r="L42" s="299"/>
      <c r="M42" s="303"/>
      <c r="N42" s="299"/>
      <c r="O42" s="305"/>
      <c r="P42" s="302" t="str">
        <f>IF(B42&lt;&gt;"",IF(NeoBer1700!J29,"ja","nee"),"")</f>
        <v>nee</v>
      </c>
      <c r="Q42" s="306"/>
    </row>
    <row r="43" spans="1:17" ht="15.95" customHeight="1" x14ac:dyDescent="0.4">
      <c r="A43" s="271">
        <v>12</v>
      </c>
      <c r="B43" s="299" t="str">
        <f>IF(I43&lt;&gt;"",NeoAfspr1700!B43,"")</f>
        <v>Zijlijn 2</v>
      </c>
      <c r="C43" s="294"/>
      <c r="D43" s="299"/>
      <c r="E43" s="300"/>
      <c r="F43" s="299"/>
      <c r="G43" s="300"/>
      <c r="H43" s="299"/>
      <c r="I43" s="302">
        <f>IFERROR(INDEX(tbl_Neo_Opl,NeoBer1700!E30,1),"")</f>
        <v>0</v>
      </c>
      <c r="J43" s="299"/>
      <c r="K43" s="300" t="str">
        <f>NeoAfspr1700!G43</f>
        <v/>
      </c>
      <c r="L43" s="299"/>
      <c r="M43" s="303"/>
      <c r="N43" s="299"/>
      <c r="O43" s="305"/>
      <c r="P43" s="302" t="str">
        <f>IF(B43&lt;&gt;"",IF(NeoBer1700!J30,"ja","nee"),"")</f>
        <v>nee</v>
      </c>
      <c r="Q43" s="306"/>
    </row>
    <row r="44" spans="1:17" ht="15.95" customHeight="1" x14ac:dyDescent="0.4">
      <c r="A44" s="271">
        <v>13</v>
      </c>
      <c r="B44" s="299" t="str">
        <f>IF(I44&lt;&gt;"",NeoAfspr1700!B44,"")</f>
        <v>Zijlijn 3</v>
      </c>
      <c r="C44" s="294"/>
      <c r="D44" s="299"/>
      <c r="E44" s="300"/>
      <c r="F44" s="299"/>
      <c r="G44" s="300"/>
      <c r="H44" s="299"/>
      <c r="I44" s="302">
        <f>IFERROR(INDEX(tbl_Neo_Opl,NeoBer1700!E31,1),"")</f>
        <v>0</v>
      </c>
      <c r="J44" s="299"/>
      <c r="K44" s="300" t="str">
        <f>NeoAfspr1700!G44</f>
        <v/>
      </c>
      <c r="L44" s="299"/>
      <c r="M44" s="299"/>
      <c r="N44" s="299"/>
      <c r="O44" s="305"/>
      <c r="P44" s="302" t="str">
        <f>IF(B44&lt;&gt;"",IF(NeoBer1700!J31,"ja","nee"),"")</f>
        <v>nee</v>
      </c>
      <c r="Q44" s="306"/>
    </row>
    <row r="45" spans="1:17" ht="15.95" customHeight="1" x14ac:dyDescent="0.4">
      <c r="A45" s="271">
        <v>14</v>
      </c>
      <c r="B45" s="299" t="str">
        <f>NeoAfspr1700!B45</f>
        <v/>
      </c>
      <c r="C45" s="294"/>
      <c r="D45" s="299"/>
      <c r="E45" s="300"/>
      <c r="F45" s="299"/>
      <c r="G45" s="300"/>
      <c r="H45" s="299"/>
      <c r="I45" s="299"/>
      <c r="J45" s="299"/>
      <c r="K45" s="300"/>
      <c r="L45" s="299"/>
      <c r="M45" s="299"/>
      <c r="N45" s="299"/>
      <c r="O45" s="305"/>
      <c r="P45" s="299"/>
      <c r="Q45" s="306"/>
    </row>
    <row r="46" spans="1:17" ht="15.95" customHeight="1" x14ac:dyDescent="0.4">
      <c r="A46" s="271">
        <v>15</v>
      </c>
      <c r="B46" s="299" t="str">
        <f>NeoAfspr1700!B46</f>
        <v/>
      </c>
      <c r="C46" s="294"/>
      <c r="D46" s="299"/>
      <c r="E46" s="300"/>
      <c r="F46" s="299"/>
      <c r="G46" s="300"/>
      <c r="H46" s="299"/>
      <c r="I46" s="299"/>
      <c r="J46" s="299"/>
      <c r="K46" s="300"/>
      <c r="L46" s="299"/>
      <c r="M46" s="299"/>
      <c r="N46" s="299"/>
      <c r="O46" s="305"/>
      <c r="P46" s="299"/>
      <c r="Q46" s="306"/>
    </row>
    <row r="47" spans="1:17" ht="15.75" customHeight="1" x14ac:dyDescent="0.4">
      <c r="A47" s="271">
        <v>16</v>
      </c>
      <c r="B47" s="299">
        <f>NeoAfspr1700!B48</f>
        <v>0</v>
      </c>
      <c r="C47" s="294"/>
      <c r="D47" s="299"/>
      <c r="E47" s="300"/>
      <c r="F47" s="299"/>
      <c r="G47" s="300" t="str">
        <f ca="1">NeoAfspr1700!E48</f>
        <v/>
      </c>
      <c r="H47" s="299"/>
      <c r="I47" s="299"/>
      <c r="J47" s="299"/>
      <c r="K47" s="300"/>
      <c r="L47" s="299"/>
      <c r="M47" s="299"/>
      <c r="N47" s="299"/>
      <c r="O47" s="305"/>
      <c r="P47" s="299"/>
      <c r="Q47" s="298"/>
    </row>
    <row r="48" spans="1:17" x14ac:dyDescent="0.35">
      <c r="O48" s="284"/>
      <c r="P48" s="279"/>
      <c r="Q48" s="284"/>
    </row>
    <row r="49" spans="2:17" x14ac:dyDescent="0.35">
      <c r="B49" s="274" t="str">
        <f>NeoAfspr1700!B51</f>
        <v>Samenstelling</v>
      </c>
      <c r="F49" s="271" t="s">
        <v>561</v>
      </c>
      <c r="I49" s="271" t="s">
        <v>562</v>
      </c>
      <c r="L49" s="271" t="s">
        <v>563</v>
      </c>
      <c r="P49" s="283"/>
      <c r="Q49" s="284"/>
    </row>
    <row r="50" spans="2:17" x14ac:dyDescent="0.35">
      <c r="F50" s="307" t="s">
        <v>564</v>
      </c>
      <c r="G50" s="308"/>
      <c r="H50" s="309"/>
      <c r="I50" s="310" t="s">
        <v>565</v>
      </c>
      <c r="J50" s="308"/>
      <c r="K50" s="311"/>
      <c r="L50" s="307" t="s">
        <v>565</v>
      </c>
      <c r="M50" s="308"/>
      <c r="N50" s="311"/>
      <c r="P50" s="283"/>
      <c r="Q50" s="284"/>
    </row>
    <row r="51" spans="2:17" ht="13.2" x14ac:dyDescent="0.4">
      <c r="B51" s="310" t="str">
        <f>NeoAfspr1700!B52</f>
        <v>NaCl 2,9%</v>
      </c>
      <c r="C51" s="312"/>
      <c r="D51" s="312"/>
      <c r="E51" s="309"/>
      <c r="F51" s="313" t="str">
        <f ca="1">NeoAfspr1700!E52</f>
        <v>0 ml</v>
      </c>
      <c r="G51" s="314"/>
      <c r="H51" s="315"/>
      <c r="I51" s="313"/>
      <c r="J51" s="314"/>
      <c r="K51" s="315"/>
      <c r="L51" s="313" t="str">
        <f>NeoAfspr1700!I52</f>
        <v/>
      </c>
      <c r="M51" s="314"/>
      <c r="N51" s="315"/>
      <c r="P51" s="316"/>
      <c r="Q51" s="298"/>
    </row>
    <row r="52" spans="2:17" ht="13.2" x14ac:dyDescent="0.4">
      <c r="B52" s="310" t="str">
        <f>NeoAfspr1700!B53</f>
        <v>Kacetaat</v>
      </c>
      <c r="C52" s="312"/>
      <c r="D52" s="312"/>
      <c r="E52" s="309"/>
      <c r="F52" s="313" t="str">
        <f ca="1">NeoAfspr1700!E53</f>
        <v>0 ml</v>
      </c>
      <c r="G52" s="314"/>
      <c r="H52" s="315"/>
      <c r="I52" s="313"/>
      <c r="J52" s="314"/>
      <c r="K52" s="315"/>
      <c r="L52" s="313" t="str">
        <f>NeoAfspr1700!I53</f>
        <v/>
      </c>
      <c r="M52" s="314"/>
      <c r="N52" s="315"/>
      <c r="P52" s="317"/>
      <c r="Q52" s="306"/>
    </row>
    <row r="53" spans="2:17" ht="13.2" x14ac:dyDescent="0.4">
      <c r="B53" s="310" t="str">
        <f>NeoAfspr1700!B54</f>
        <v>CaCl2</v>
      </c>
      <c r="C53" s="312"/>
      <c r="D53" s="312"/>
      <c r="E53" s="309"/>
      <c r="F53" s="313" t="str">
        <f ca="1">NeoAfspr1700!E54</f>
        <v>0 ml</v>
      </c>
      <c r="G53" s="314"/>
      <c r="H53" s="315"/>
      <c r="I53" s="313"/>
      <c r="J53" s="314"/>
      <c r="K53" s="315"/>
      <c r="L53" s="313"/>
      <c r="M53" s="314"/>
      <c r="N53" s="315"/>
      <c r="P53" s="316"/>
      <c r="Q53" s="298"/>
    </row>
    <row r="54" spans="2:17" ht="13.2" x14ac:dyDescent="0.4">
      <c r="B54" s="310" t="str">
        <f>NeoAfspr1700!B55</f>
        <v>MgCl2</v>
      </c>
      <c r="C54" s="312"/>
      <c r="D54" s="312"/>
      <c r="E54" s="309"/>
      <c r="F54" s="313" t="str">
        <f ca="1">NeoAfspr1700!E55</f>
        <v>0 ml</v>
      </c>
      <c r="G54" s="314"/>
      <c r="H54" s="315"/>
      <c r="I54" s="313"/>
      <c r="J54" s="314"/>
      <c r="K54" s="315"/>
      <c r="L54" s="313"/>
      <c r="M54" s="314"/>
      <c r="N54" s="315"/>
      <c r="P54" s="317"/>
      <c r="Q54" s="306"/>
    </row>
    <row r="55" spans="2:17" ht="13.2" x14ac:dyDescent="0.4">
      <c r="B55" s="310" t="str">
        <f>NeoAfspr1700!B56</f>
        <v>Soluvit</v>
      </c>
      <c r="C55" s="312"/>
      <c r="D55" s="312"/>
      <c r="E55" s="309"/>
      <c r="F55" s="313" t="str">
        <f ca="1">NeoAfspr1700!E56</f>
        <v>0 ml</v>
      </c>
      <c r="G55" s="314"/>
      <c r="H55" s="315"/>
      <c r="I55" s="313"/>
      <c r="J55" s="314"/>
      <c r="K55" s="315"/>
      <c r="L55" s="313"/>
      <c r="M55" s="314"/>
      <c r="N55" s="315"/>
      <c r="P55" s="316"/>
      <c r="Q55" s="298"/>
    </row>
    <row r="56" spans="2:17" ht="13.2" x14ac:dyDescent="0.4">
      <c r="B56" s="310" t="str">
        <f>NeoAfspr1700!B57</f>
        <v>Primene</v>
      </c>
      <c r="C56" s="312"/>
      <c r="D56" s="312"/>
      <c r="E56" s="309"/>
      <c r="F56" s="313" t="str">
        <f ca="1">NeoAfspr1700!E57</f>
        <v>0 ml</v>
      </c>
      <c r="G56" s="314"/>
      <c r="H56" s="315"/>
      <c r="I56" s="313"/>
      <c r="J56" s="314"/>
      <c r="K56" s="315"/>
      <c r="L56" s="313"/>
      <c r="M56" s="314"/>
      <c r="N56" s="315"/>
      <c r="P56" s="317"/>
      <c r="Q56" s="306"/>
    </row>
    <row r="57" spans="2:17" ht="13.2" x14ac:dyDescent="0.4">
      <c r="B57" s="310" t="str">
        <f>NeoAfspr1700!B58</f>
        <v>NICU-mix</v>
      </c>
      <c r="C57" s="312"/>
      <c r="D57" s="312"/>
      <c r="E57" s="309"/>
      <c r="F57" s="313"/>
      <c r="G57" s="314"/>
      <c r="H57" s="315"/>
      <c r="I57" s="313" t="str">
        <f>NeoAfspr1700!G58</f>
        <v/>
      </c>
      <c r="J57" s="314"/>
      <c r="K57" s="315"/>
      <c r="L57" s="313"/>
      <c r="M57" s="314"/>
      <c r="N57" s="315"/>
      <c r="P57" s="316"/>
      <c r="Q57" s="298"/>
    </row>
    <row r="58" spans="2:17" ht="13.2" x14ac:dyDescent="0.4">
      <c r="B58" s="310" t="str">
        <f>NeoAfspr1700!B59</f>
        <v>Samenstelling B</v>
      </c>
      <c r="C58" s="312"/>
      <c r="D58" s="312"/>
      <c r="E58" s="309"/>
      <c r="F58" s="313"/>
      <c r="G58" s="314"/>
      <c r="H58" s="315"/>
      <c r="I58" s="313"/>
      <c r="J58" s="314"/>
      <c r="K58" s="315"/>
      <c r="L58" s="313" t="str">
        <f>NeoAfspr1700!I59</f>
        <v/>
      </c>
      <c r="M58" s="314"/>
      <c r="N58" s="315"/>
      <c r="P58" s="317"/>
      <c r="Q58" s="306"/>
    </row>
    <row r="59" spans="2:17" ht="13.2" x14ac:dyDescent="0.4">
      <c r="B59" s="310" t="str">
        <f>INDEX(tbl_Neo_Opl,NeoBer1700!D45+1,1)</f>
        <v>glucose 10%</v>
      </c>
      <c r="C59" s="312"/>
      <c r="D59" s="312"/>
      <c r="E59" s="309"/>
      <c r="F59" s="313" t="str">
        <f>NeoAfspr1700!E60&amp;" "&amp;NeoAfspr1700!F60</f>
        <v>0 ml</v>
      </c>
      <c r="G59" s="314"/>
      <c r="H59" s="315"/>
      <c r="I59" s="313" t="str">
        <f>NeoAfspr1700!G60&amp;" "&amp;NeoAfspr1700!H60</f>
        <v xml:space="preserve"> </v>
      </c>
      <c r="J59" s="314"/>
      <c r="K59" s="315"/>
      <c r="L59" s="313" t="str">
        <f>NeoAfspr1700!I60&amp;" "&amp;NeoAfspr1700!J60</f>
        <v xml:space="preserve"> </v>
      </c>
      <c r="M59" s="314"/>
      <c r="N59" s="315"/>
      <c r="P59" s="318"/>
      <c r="Q59" s="319"/>
    </row>
    <row r="60" spans="2:17" ht="18.75" customHeight="1" x14ac:dyDescent="0.4">
      <c r="B60" s="274" t="str">
        <f>NeoAfspr1700!B19</f>
        <v>Fototherapie</v>
      </c>
      <c r="E60" s="277" t="str">
        <f>IF(NeoBer1700!B15=1,"ja","nee")</f>
        <v>nee</v>
      </c>
      <c r="P60" s="279"/>
      <c r="Q60" s="279"/>
    </row>
    <row r="61" spans="2:17" x14ac:dyDescent="0.35">
      <c r="B61" s="279"/>
      <c r="C61" s="279"/>
      <c r="D61" s="279"/>
      <c r="E61" s="279"/>
      <c r="F61" s="279"/>
      <c r="G61" s="279"/>
      <c r="H61" s="279"/>
      <c r="I61" s="279"/>
      <c r="J61" s="279"/>
      <c r="K61" s="279"/>
      <c r="L61" s="279"/>
      <c r="M61" s="279"/>
      <c r="N61" s="279"/>
      <c r="O61" s="279"/>
      <c r="P61" s="279"/>
      <c r="Q61" s="279"/>
    </row>
    <row r="62" spans="2:17" x14ac:dyDescent="0.35">
      <c r="B62" s="281" t="str">
        <f>NeoAfspr1700!B2</f>
        <v>Intake</v>
      </c>
      <c r="C62" s="281"/>
      <c r="D62" s="281" t="str">
        <f>NeoAfspr1700!C2</f>
        <v>Intraveneus</v>
      </c>
      <c r="E62" s="281"/>
      <c r="F62" s="281" t="str">
        <f>NeoAfspr1700!D2</f>
        <v>Oraal</v>
      </c>
      <c r="G62" s="281"/>
      <c r="H62" s="281" t="str">
        <f>NeoAfspr1700!E2</f>
        <v>Totaal</v>
      </c>
      <c r="I62" s="281"/>
      <c r="J62" s="281"/>
      <c r="K62" s="281" t="s">
        <v>381</v>
      </c>
      <c r="L62" s="281"/>
      <c r="M62" s="281" t="str">
        <f>NeoAfspr1700!H2</f>
        <v>Intraveneus</v>
      </c>
      <c r="N62" s="281"/>
      <c r="O62" s="281" t="str">
        <f>NeoAfspr1700!I2</f>
        <v>Oraal</v>
      </c>
      <c r="P62" s="281"/>
      <c r="Q62" s="281" t="str">
        <f>NeoAfspr1700!J2</f>
        <v>Totaal</v>
      </c>
    </row>
    <row r="63" spans="2:17" x14ac:dyDescent="0.35">
      <c r="B63" s="271" t="str">
        <f>NeoAfspr1700!B3</f>
        <v>Volume</v>
      </c>
      <c r="D63" s="320" t="str">
        <f ca="1">NeoAfspr1700!C3</f>
        <v>0 ml/kg</v>
      </c>
      <c r="E63" s="320"/>
      <c r="F63" s="320" t="str">
        <f>NeoAfspr1700!D3</f>
        <v>0 ml/kg</v>
      </c>
      <c r="H63" s="320" t="str">
        <f ca="1">NeoAfspr1700!E3</f>
        <v>0 ml/kg  = 0 ml</v>
      </c>
      <c r="K63" s="271" t="str">
        <f>NeoAfspr1700!G3</f>
        <v>Natrium</v>
      </c>
      <c r="M63" s="320" t="str">
        <f ca="1">NeoAfspr1700!H3</f>
        <v>0 mmol/kg</v>
      </c>
      <c r="N63" s="320"/>
      <c r="O63" s="320" t="str">
        <f>NeoAfspr1700!I3</f>
        <v>0 mmol/kg</v>
      </c>
      <c r="Q63" s="320" t="str">
        <f ca="1">NeoAfspr1700!J3</f>
        <v>0 mmol/kg</v>
      </c>
    </row>
    <row r="64" spans="2:17" x14ac:dyDescent="0.35">
      <c r="B64" s="271" t="str">
        <f>NeoAfspr1700!B4</f>
        <v>Eiwit</v>
      </c>
      <c r="D64" s="320" t="str">
        <f ca="1">NeoAfspr1700!C4</f>
        <v>0 g/kg</v>
      </c>
      <c r="E64" s="320"/>
      <c r="F64" s="320" t="str">
        <f>NeoAfspr1700!D4</f>
        <v>0 g/kg</v>
      </c>
      <c r="H64" s="320" t="str">
        <f ca="1">NeoAfspr1700!E4</f>
        <v>0 g/kg</v>
      </c>
      <c r="K64" s="271" t="str">
        <f>NeoAfspr1700!G4</f>
        <v>Kalium</v>
      </c>
      <c r="M64" s="320" t="str">
        <f ca="1">NeoAfspr1700!H4</f>
        <v>0 mmol/kg</v>
      </c>
      <c r="N64" s="320"/>
      <c r="O64" s="320" t="str">
        <f>NeoAfspr1700!I4</f>
        <v>0 mmol/kg</v>
      </c>
      <c r="Q64" s="320" t="str">
        <f ca="1">NeoAfspr1700!J4</f>
        <v>0 mmol/kg</v>
      </c>
    </row>
    <row r="65" spans="2:17" x14ac:dyDescent="0.35">
      <c r="B65" s="271" t="str">
        <f>NeoAfspr1700!B5</f>
        <v>Vet</v>
      </c>
      <c r="D65" s="320" t="str">
        <f ca="1">NeoAfspr1700!C5</f>
        <v>0 g/kg</v>
      </c>
      <c r="E65" s="320"/>
      <c r="F65" s="320" t="str">
        <f>NeoAfspr1700!D5</f>
        <v>0 g/kg</v>
      </c>
      <c r="H65" s="320" t="str">
        <f ca="1">NeoAfspr1700!E5</f>
        <v>0 g/kg</v>
      </c>
      <c r="K65" s="271" t="str">
        <f>NeoAfspr1700!G5</f>
        <v>Calcium</v>
      </c>
      <c r="M65" s="320" t="str">
        <f ca="1">NeoAfspr1700!H5</f>
        <v>0 mmol/kg</v>
      </c>
      <c r="N65" s="320"/>
      <c r="O65" s="320" t="str">
        <f>NeoAfspr1700!I5</f>
        <v>0 mmol/kg</v>
      </c>
      <c r="Q65" s="320" t="str">
        <f ca="1">NeoAfspr1700!J5</f>
        <v>0 mmol/kg</v>
      </c>
    </row>
    <row r="66" spans="2:17" x14ac:dyDescent="0.35">
      <c r="B66" s="271" t="str">
        <f>NeoAfspr1700!B6</f>
        <v>Glucose</v>
      </c>
      <c r="D66" s="320" t="str">
        <f>NeoAfspr1700!C6</f>
        <v>0 mg/kg/min</v>
      </c>
      <c r="E66" s="320"/>
      <c r="F66" s="320" t="str">
        <f>NeoAfspr1700!D6</f>
        <v>0 mg/kg/min</v>
      </c>
      <c r="H66" s="320" t="str">
        <f>NeoAfspr1700!E6</f>
        <v>0 mg/kg/min</v>
      </c>
      <c r="K66" s="271" t="str">
        <f>NeoAfspr1700!G6</f>
        <v>Magnesium</v>
      </c>
      <c r="M66" s="320" t="str">
        <f ca="1">NeoAfspr1700!H6</f>
        <v>0 mmol/kg</v>
      </c>
      <c r="N66" s="320"/>
      <c r="O66" s="320" t="str">
        <f>NeoAfspr1700!I6</f>
        <v>0 mmol/kg</v>
      </c>
      <c r="Q66" s="320" t="str">
        <f ca="1">NeoAfspr1700!J6</f>
        <v>0 mmol/kg</v>
      </c>
    </row>
    <row r="67" spans="2:17" x14ac:dyDescent="0.35">
      <c r="B67" s="271" t="str">
        <f>NeoAfspr1700!B7</f>
        <v>Energie</v>
      </c>
      <c r="D67" s="320" t="str">
        <f ca="1">NeoAfspr1700!C7</f>
        <v>0 kcal/kg</v>
      </c>
      <c r="E67" s="320"/>
      <c r="F67" s="320" t="str">
        <f>NeoAfspr1700!D7</f>
        <v>0 kcal/kg</v>
      </c>
      <c r="H67" s="320" t="str">
        <f ca="1">NeoAfspr1700!E7</f>
        <v>0 kcal/kg</v>
      </c>
      <c r="K67" s="271" t="str">
        <f>NeoAfspr1700!G7</f>
        <v>Chloor</v>
      </c>
      <c r="M67" s="320" t="str">
        <f ca="1">NeoAfspr1700!H7</f>
        <v>0 mmol/kg</v>
      </c>
      <c r="N67" s="320"/>
      <c r="O67" s="320" t="str">
        <f>NeoAfspr1700!I7</f>
        <v>0 mmol/kg</v>
      </c>
      <c r="Q67" s="320" t="str">
        <f ca="1">NeoAfspr1700!J7</f>
        <v>0 mmol/kg</v>
      </c>
    </row>
    <row r="68" spans="2:17" x14ac:dyDescent="0.35">
      <c r="B68" s="271" t="str">
        <f>NeoAfspr1700!B8</f>
        <v>Vit D</v>
      </c>
      <c r="D68" s="320" t="str">
        <f ca="1">NeoAfspr1700!C8</f>
        <v>0 IE/ml</v>
      </c>
      <c r="E68" s="320"/>
      <c r="F68" s="320" t="str">
        <f>NeoAfspr1700!D8</f>
        <v>0 IE/ml</v>
      </c>
      <c r="H68" s="320" t="str">
        <f ca="1">NeoAfspr1700!E8</f>
        <v>0 IE/ml</v>
      </c>
      <c r="K68" s="271" t="str">
        <f>NeoAfspr1700!G8</f>
        <v>Fosfaat</v>
      </c>
      <c r="M68" s="320" t="str">
        <f>NeoAfspr1700!H8</f>
        <v>0 mmol/kg</v>
      </c>
      <c r="N68" s="320"/>
      <c r="O68" s="320" t="str">
        <f>NeoAfspr1700!I8</f>
        <v>0 mmol/kg</v>
      </c>
      <c r="Q68" s="320" t="str">
        <f>NeoAfspr1700!J8</f>
        <v>0 mmol/kg</v>
      </c>
    </row>
    <row r="70" spans="2:17" ht="13.2" x14ac:dyDescent="0.4">
      <c r="B70" s="945" t="s">
        <v>128</v>
      </c>
      <c r="C70" s="945"/>
      <c r="D70" s="945"/>
      <c r="E70" s="945"/>
      <c r="F70" s="945"/>
      <c r="G70" s="945"/>
      <c r="H70" s="945"/>
      <c r="I70" s="945"/>
      <c r="J70" s="945"/>
      <c r="K70" s="945"/>
      <c r="L70" s="945"/>
      <c r="M70" s="945"/>
      <c r="N70" s="945"/>
      <c r="O70" s="945"/>
      <c r="P70" s="945"/>
      <c r="Q70" s="945"/>
    </row>
    <row r="71" spans="2:17" x14ac:dyDescent="0.35">
      <c r="B71" s="271" t="s">
        <v>404</v>
      </c>
      <c r="D71" s="271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279"/>
      <c r="Q71" s="279"/>
    </row>
    <row r="72" spans="2:17" x14ac:dyDescent="0.35">
      <c r="B72" s="271" t="s">
        <v>770</v>
      </c>
      <c r="D72" s="271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279"/>
      <c r="Q72" s="279"/>
    </row>
    <row r="73" spans="2:17" x14ac:dyDescent="0.35">
      <c r="B73" s="271" t="s">
        <v>771</v>
      </c>
      <c r="D73" s="271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279"/>
      <c r="Q73" s="279"/>
    </row>
    <row r="74" spans="2:17" x14ac:dyDescent="0.35">
      <c r="B74" s="271" t="s">
        <v>772</v>
      </c>
      <c r="D74" s="271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279"/>
      <c r="Q74" s="279"/>
    </row>
    <row r="75" spans="2:17" x14ac:dyDescent="0.35">
      <c r="B75" s="271" t="s">
        <v>160</v>
      </c>
      <c r="D75" s="271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279"/>
      <c r="Q75" s="279"/>
    </row>
    <row r="76" spans="2:17" x14ac:dyDescent="0.35">
      <c r="B76" s="271" t="s">
        <v>773</v>
      </c>
      <c r="D76" s="271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279"/>
      <c r="Q76" s="279"/>
    </row>
    <row r="77" spans="2:17" x14ac:dyDescent="0.35">
      <c r="B77" s="271" t="s">
        <v>777</v>
      </c>
      <c r="D77" s="271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279"/>
      <c r="Q77" s="279"/>
    </row>
    <row r="78" spans="2:17" x14ac:dyDescent="0.35">
      <c r="B78" s="271" t="s">
        <v>315</v>
      </c>
      <c r="D78" s="271" t="str">
        <f>IF(_Neo_Lab_Opm=0,"",_Neo_Lab_Opm)</f>
        <v/>
      </c>
      <c r="P78" s="279"/>
      <c r="Q78" s="279"/>
    </row>
    <row r="79" spans="2:17" x14ac:dyDescent="0.35">
      <c r="P79" s="279"/>
      <c r="Q79" s="279"/>
    </row>
    <row r="80" spans="2:17" x14ac:dyDescent="0.35">
      <c r="P80" s="279"/>
      <c r="Q80" s="279"/>
    </row>
    <row r="81" spans="2:17" ht="13.2" x14ac:dyDescent="0.4">
      <c r="B81" s="945" t="s">
        <v>74</v>
      </c>
      <c r="C81" s="945"/>
      <c r="D81" s="945"/>
      <c r="E81" s="945"/>
      <c r="F81" s="945"/>
      <c r="G81" s="945"/>
      <c r="H81" s="945"/>
      <c r="I81" s="945"/>
      <c r="J81" s="945"/>
      <c r="K81" s="945"/>
      <c r="L81" s="945"/>
      <c r="M81" s="945"/>
      <c r="N81" s="945"/>
      <c r="O81" s="945"/>
      <c r="P81" s="945"/>
      <c r="Q81" s="945"/>
    </row>
    <row r="82" spans="2:17" x14ac:dyDescent="0.35">
      <c r="B82" s="271" t="s">
        <v>780</v>
      </c>
      <c r="D82" s="271" t="str">
        <f>IFERROR(LEFT(Var_Neo_AfsprControles,LEN(Var_Neo_AfsprControles)-3),"")</f>
        <v/>
      </c>
      <c r="P82" s="279"/>
      <c r="Q82" s="279"/>
    </row>
    <row r="83" spans="2:17" x14ac:dyDescent="0.35">
      <c r="B83" s="271" t="s">
        <v>786</v>
      </c>
      <c r="D83" s="271" t="str">
        <f>IFERROR(LEFT(Var_Neo_AfsprOnderzoek,LEN(Var_Neo_AfsprOnderzoek)-3),"")</f>
        <v/>
      </c>
      <c r="P83" s="279"/>
      <c r="Q83" s="279"/>
    </row>
    <row r="84" spans="2:17" x14ac:dyDescent="0.35">
      <c r="B84" s="271" t="s">
        <v>718</v>
      </c>
      <c r="D84" s="271" t="str">
        <f>IFERROR(LEFT(Var_Neo_AfsprKweken,LEN(Var_Neo_AfsprKweken)-3),"")</f>
        <v/>
      </c>
      <c r="P84" s="279"/>
      <c r="Q84" s="279"/>
    </row>
    <row r="85" spans="2:17" x14ac:dyDescent="0.35">
      <c r="B85" s="271" t="s">
        <v>1024</v>
      </c>
      <c r="D85" s="271" t="str">
        <f>IFERROR(LEFT(Var_Neo_AfsprInstellingen,LEN(Var_Neo_AfsprInstellingen)-3),"")</f>
        <v/>
      </c>
      <c r="P85" s="279"/>
      <c r="Q85" s="279"/>
    </row>
    <row r="86" spans="2:17" x14ac:dyDescent="0.35">
      <c r="B86" s="271" t="s">
        <v>764</v>
      </c>
      <c r="D86" s="271" t="str">
        <f>IFERROR(LEFT(Var_Neo_AfsprOverig,LEN(Var_Neo_AfsprOverig)-3),"")</f>
        <v/>
      </c>
      <c r="P86" s="279"/>
      <c r="Q86" s="279"/>
    </row>
    <row r="87" spans="2:17" x14ac:dyDescent="0.35">
      <c r="P87" s="279"/>
      <c r="Q87" s="279"/>
    </row>
    <row r="88" spans="2:17" x14ac:dyDescent="0.35">
      <c r="P88" s="279"/>
      <c r="Q88" s="279"/>
    </row>
    <row r="89" spans="2:17" x14ac:dyDescent="0.35">
      <c r="P89" s="279"/>
      <c r="Q89" s="279"/>
    </row>
    <row r="90" spans="2:17" x14ac:dyDescent="0.35">
      <c r="P90" s="279"/>
      <c r="Q90" s="279"/>
    </row>
    <row r="91" spans="2:17" x14ac:dyDescent="0.35">
      <c r="P91" s="279"/>
      <c r="Q91" s="279"/>
    </row>
    <row r="92" spans="2:17" x14ac:dyDescent="0.35">
      <c r="P92" s="279"/>
      <c r="Q92" s="279"/>
    </row>
    <row r="93" spans="2:17" x14ac:dyDescent="0.35">
      <c r="P93" s="279"/>
      <c r="Q93" s="279"/>
    </row>
    <row r="94" spans="2:17" x14ac:dyDescent="0.35">
      <c r="P94" s="279"/>
      <c r="Q94" s="279"/>
    </row>
    <row r="95" spans="2:17" x14ac:dyDescent="0.35">
      <c r="P95" s="279"/>
      <c r="Q95" s="279"/>
    </row>
    <row r="96" spans="2:17" x14ac:dyDescent="0.35">
      <c r="P96" s="279"/>
      <c r="Q96" s="279"/>
    </row>
    <row r="97" spans="16:17" x14ac:dyDescent="0.35">
      <c r="P97" s="279"/>
      <c r="Q97" s="279"/>
    </row>
    <row r="98" spans="16:17" x14ac:dyDescent="0.35">
      <c r="P98" s="279"/>
      <c r="Q98" s="279"/>
    </row>
    <row r="99" spans="16:17" x14ac:dyDescent="0.35">
      <c r="P99" s="279"/>
      <c r="Q99" s="279"/>
    </row>
    <row r="100" spans="16:17" x14ac:dyDescent="0.35">
      <c r="P100" s="279"/>
      <c r="Q100" s="279"/>
    </row>
    <row r="101" spans="16:17" x14ac:dyDescent="0.35">
      <c r="P101" s="279"/>
      <c r="Q101" s="279"/>
    </row>
    <row r="102" spans="16:17" x14ac:dyDescent="0.35">
      <c r="P102" s="279"/>
      <c r="Q102" s="279"/>
    </row>
    <row r="103" spans="16:17" x14ac:dyDescent="0.35">
      <c r="P103" s="279"/>
      <c r="Q103" s="279"/>
    </row>
    <row r="104" spans="16:17" x14ac:dyDescent="0.35">
      <c r="P104" s="279"/>
      <c r="Q104" s="279"/>
    </row>
    <row r="105" spans="16:17" x14ac:dyDescent="0.35">
      <c r="P105" s="279"/>
      <c r="Q105" s="279"/>
    </row>
    <row r="106" spans="16:17" x14ac:dyDescent="0.35">
      <c r="P106" s="279"/>
      <c r="Q106" s="279"/>
    </row>
    <row r="107" spans="16:17" x14ac:dyDescent="0.35">
      <c r="P107" s="279"/>
      <c r="Q107" s="279"/>
    </row>
    <row r="108" spans="16:17" x14ac:dyDescent="0.35">
      <c r="P108" s="279"/>
      <c r="Q108" s="279"/>
    </row>
    <row r="109" spans="16:17" x14ac:dyDescent="0.35">
      <c r="P109" s="279"/>
      <c r="Q109" s="279"/>
    </row>
    <row r="110" spans="16:17" x14ac:dyDescent="0.35">
      <c r="P110" s="279"/>
      <c r="Q110" s="279"/>
    </row>
    <row r="111" spans="16:17" x14ac:dyDescent="0.35">
      <c r="P111" s="279"/>
      <c r="Q111" s="279"/>
    </row>
    <row r="112" spans="16:17" x14ac:dyDescent="0.35">
      <c r="P112" s="279"/>
      <c r="Q112" s="279"/>
    </row>
    <row r="113" spans="16:17" x14ac:dyDescent="0.35">
      <c r="P113" s="279"/>
      <c r="Q113" s="279"/>
    </row>
    <row r="114" spans="16:17" x14ac:dyDescent="0.35">
      <c r="P114" s="279"/>
      <c r="Q114" s="279"/>
    </row>
    <row r="115" spans="16:17" x14ac:dyDescent="0.35">
      <c r="P115" s="279"/>
      <c r="Q115" s="279"/>
    </row>
    <row r="116" spans="16:17" x14ac:dyDescent="0.35">
      <c r="P116" s="279"/>
      <c r="Q116" s="279"/>
    </row>
    <row r="117" spans="16:17" x14ac:dyDescent="0.35">
      <c r="P117" s="279"/>
      <c r="Q117" s="279"/>
    </row>
    <row r="118" spans="16:17" x14ac:dyDescent="0.35">
      <c r="P118" s="279"/>
      <c r="Q118" s="279"/>
    </row>
    <row r="119" spans="16:17" x14ac:dyDescent="0.35">
      <c r="P119" s="279"/>
      <c r="Q119" s="279"/>
    </row>
    <row r="120" spans="16:17" x14ac:dyDescent="0.35">
      <c r="P120" s="279"/>
      <c r="Q120" s="279"/>
    </row>
    <row r="121" spans="16:17" x14ac:dyDescent="0.35">
      <c r="P121" s="279"/>
      <c r="Q121" s="279"/>
    </row>
    <row r="122" spans="16:17" x14ac:dyDescent="0.35">
      <c r="P122" s="279"/>
      <c r="Q122" s="279"/>
    </row>
    <row r="123" spans="16:17" x14ac:dyDescent="0.35">
      <c r="P123" s="279"/>
      <c r="Q123" s="279"/>
    </row>
    <row r="124" spans="16:17" x14ac:dyDescent="0.35">
      <c r="P124" s="279"/>
      <c r="Q124" s="279"/>
    </row>
    <row r="125" spans="16:17" x14ac:dyDescent="0.35">
      <c r="P125" s="279"/>
      <c r="Q125" s="279"/>
    </row>
    <row r="126" spans="16:17" x14ac:dyDescent="0.35">
      <c r="P126" s="279"/>
      <c r="Q126" s="279"/>
    </row>
    <row r="127" spans="16:17" x14ac:dyDescent="0.35">
      <c r="P127" s="279"/>
      <c r="Q127" s="279"/>
    </row>
    <row r="128" spans="16:17" x14ac:dyDescent="0.35">
      <c r="P128" s="279"/>
      <c r="Q128" s="279"/>
    </row>
    <row r="129" spans="16:17" x14ac:dyDescent="0.35">
      <c r="P129" s="279"/>
      <c r="Q129" s="279"/>
    </row>
    <row r="130" spans="16:17" x14ac:dyDescent="0.35">
      <c r="P130" s="279"/>
      <c r="Q130" s="279"/>
    </row>
    <row r="131" spans="16:17" x14ac:dyDescent="0.35">
      <c r="P131" s="279"/>
      <c r="Q131" s="279"/>
    </row>
    <row r="132" spans="16:17" x14ac:dyDescent="0.35">
      <c r="P132" s="279"/>
      <c r="Q132" s="279"/>
    </row>
    <row r="133" spans="16:17" x14ac:dyDescent="0.35">
      <c r="P133" s="279"/>
      <c r="Q133" s="279"/>
    </row>
    <row r="134" spans="16:17" x14ac:dyDescent="0.35">
      <c r="P134" s="279"/>
      <c r="Q134" s="279"/>
    </row>
    <row r="135" spans="16:17" x14ac:dyDescent="0.35">
      <c r="P135" s="279"/>
      <c r="Q135" s="279"/>
    </row>
    <row r="136" spans="16:17" x14ac:dyDescent="0.35">
      <c r="P136" s="279"/>
      <c r="Q136" s="279"/>
    </row>
    <row r="137" spans="16:17" x14ac:dyDescent="0.35">
      <c r="P137" s="279"/>
      <c r="Q137" s="279"/>
    </row>
    <row r="138" spans="16:17" x14ac:dyDescent="0.35">
      <c r="P138" s="279"/>
      <c r="Q138" s="279"/>
    </row>
    <row r="139" spans="16:17" x14ac:dyDescent="0.35">
      <c r="P139" s="279"/>
      <c r="Q139" s="279"/>
    </row>
    <row r="140" spans="16:17" x14ac:dyDescent="0.35">
      <c r="P140" s="279"/>
      <c r="Q140" s="279"/>
    </row>
    <row r="141" spans="16:17" x14ac:dyDescent="0.35">
      <c r="P141" s="279"/>
      <c r="Q141" s="279"/>
    </row>
    <row r="142" spans="16:17" x14ac:dyDescent="0.35">
      <c r="P142" s="279"/>
      <c r="Q142" s="279"/>
    </row>
    <row r="143" spans="16:17" x14ac:dyDescent="0.35">
      <c r="P143" s="279"/>
      <c r="Q143" s="279"/>
    </row>
    <row r="144" spans="16:17" x14ac:dyDescent="0.35">
      <c r="P144" s="279"/>
      <c r="Q144" s="279"/>
    </row>
    <row r="145" spans="16:17" x14ac:dyDescent="0.35">
      <c r="P145" s="279"/>
      <c r="Q145" s="279"/>
    </row>
    <row r="146" spans="16:17" x14ac:dyDescent="0.35">
      <c r="P146" s="279"/>
      <c r="Q146" s="279"/>
    </row>
  </sheetData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>
      <selection activeCell="Q7" sqref="Q7"/>
    </sheetView>
  </sheetViews>
  <sheetFormatPr defaultColWidth="9.1328125" defaultRowHeight="12.85" x14ac:dyDescent="0.35"/>
  <cols>
    <col min="1" max="13" width="5.73046875" style="271" customWidth="1"/>
    <col min="14" max="15" width="11.265625" style="271" bestFit="1" customWidth="1"/>
    <col min="16" max="17" width="5.73046875" style="271" customWidth="1"/>
    <col min="18" max="16384" width="9.1328125" style="271"/>
  </cols>
  <sheetData>
    <row r="1" spans="1:20" ht="13.2" x14ac:dyDescent="0.4">
      <c r="A1" s="576"/>
      <c r="B1" s="271" t="s">
        <v>588</v>
      </c>
      <c r="H1" s="271" t="s">
        <v>568</v>
      </c>
      <c r="J1" s="953">
        <f ca="1">TODAY()</f>
        <v>42736</v>
      </c>
      <c r="K1" s="953"/>
      <c r="L1" s="953"/>
      <c r="M1" s="271" t="s">
        <v>551</v>
      </c>
      <c r="N1" s="293" t="str">
        <f>__1_Bed</f>
        <v>Unit 1.2</v>
      </c>
    </row>
    <row r="2" spans="1:20" ht="13.2" x14ac:dyDescent="0.4">
      <c r="B2" s="271" t="s">
        <v>567</v>
      </c>
      <c r="D2" s="277" t="str">
        <f>__3_VoorNaam&amp;" "&amp;__2_AchterNaam</f>
        <v>Test Test</v>
      </c>
      <c r="H2" s="271" t="s">
        <v>571</v>
      </c>
      <c r="J2" s="277" t="str">
        <f>IF(_Neo_InfB_Arts&gt;0,_Neo_InfB_Arts,"")</f>
        <v/>
      </c>
      <c r="M2" s="271" t="s">
        <v>569</v>
      </c>
      <c r="N2" s="954">
        <f ca="1">NOW()</f>
        <v>42736.919156597221</v>
      </c>
      <c r="O2" s="954"/>
    </row>
    <row r="3" spans="1:20" ht="13.2" x14ac:dyDescent="0.4">
      <c r="B3" s="271" t="s">
        <v>570</v>
      </c>
      <c r="D3" s="277">
        <f>(_Pat_Gewicht/10)</f>
        <v>10</v>
      </c>
      <c r="E3" s="271" t="s">
        <v>692</v>
      </c>
      <c r="J3" s="279"/>
      <c r="K3" s="279"/>
      <c r="L3" s="279"/>
      <c r="M3" s="271" t="s">
        <v>589</v>
      </c>
    </row>
    <row r="4" spans="1:20" ht="9.0500000000000007" customHeight="1" x14ac:dyDescent="0.35">
      <c r="H4" s="279"/>
      <c r="I4" s="279"/>
      <c r="J4" s="279"/>
      <c r="K4" s="279"/>
    </row>
    <row r="5" spans="1:20" ht="15.1" x14ac:dyDescent="0.4">
      <c r="A5" s="371">
        <v>1</v>
      </c>
      <c r="B5" s="372" t="str">
        <f>IF(NeoPrtWerkbr!C26&lt;&gt;"zijlijn",NeoPrtWerkbr!A26,"")</f>
        <v/>
      </c>
      <c r="C5" s="372"/>
      <c r="D5" s="373" t="str">
        <f>NeoPrtWerkbr!C26</f>
        <v/>
      </c>
      <c r="E5" s="374"/>
      <c r="F5" s="375" t="str">
        <f>IF(NeoPrtWerkbr!E26&lt;&gt;"",IF(D5&lt;&gt;"lidocaine",IF(NeoPrtWerkbr!M28&lt;25,NeoPrtWerkbr!E26*2,NeoPrtWerkbr!E26),NeoPrtWerkbr!E26*1.5),"")</f>
        <v/>
      </c>
      <c r="G5" s="374" t="str">
        <f>NeoPrtWerkbr!F26</f>
        <v>mg</v>
      </c>
      <c r="H5" s="376" t="str">
        <f>NeoPrtWerkbr!G26</f>
        <v>(</v>
      </c>
      <c r="I5" s="374" t="str">
        <f>NeoPrtWerkbr!H26</f>
        <v/>
      </c>
      <c r="J5" s="374" t="str">
        <f>NeoPrtWerkbr!I26</f>
        <v>mg=</v>
      </c>
      <c r="K5" s="374" t="str">
        <f>NeoPrtWerkbr!J26</f>
        <v/>
      </c>
      <c r="L5" s="374" t="str">
        <f>NeoPrtWerkbr!K26</f>
        <v>ml)</v>
      </c>
      <c r="M5" s="374"/>
      <c r="N5" s="377" t="str">
        <f>IF(B5&lt;&gt;"",IF(B5&gt;0,TRUNC((K5/I5)*F5),0),"")</f>
        <v/>
      </c>
      <c r="O5" s="378" t="str">
        <f>IF(B5&lt;&gt;"",(ROUND((K5/I5)*F5,2)-N5)*100,"")</f>
        <v/>
      </c>
      <c r="P5" s="279"/>
      <c r="Q5" s="279"/>
      <c r="R5" s="279"/>
    </row>
    <row r="6" spans="1:20" ht="15.1" x14ac:dyDescent="0.4">
      <c r="A6" s="605"/>
      <c r="B6" s="372"/>
      <c r="C6" s="372"/>
      <c r="D6" s="379" t="str">
        <f>NeoPrtWerkbr!C28</f>
        <v/>
      </c>
      <c r="E6" s="380"/>
      <c r="F6" s="380" t="str">
        <f>NeoPrtWerkbr!E28</f>
        <v/>
      </c>
      <c r="G6" s="380"/>
      <c r="H6" s="381"/>
      <c r="I6" s="380"/>
      <c r="J6" s="380" t="str">
        <f>NeoPrtWerkbr!I27</f>
        <v>in</v>
      </c>
      <c r="K6" s="382" t="str">
        <f>IF(AND(D5&lt;&gt;"Nepresol (dihydralazine)",D5&lt;&gt;"Flolan (epoprostenol)"),NeoPrtWerkbr!J27,"NaCl 0,9%")</f>
        <v/>
      </c>
      <c r="L6" s="380"/>
      <c r="M6" s="380"/>
      <c r="N6" s="383" t="str">
        <f>IF(B5&lt;&gt;"",TRUNC(N7+O7/100-N5-O5/100),"")</f>
        <v/>
      </c>
      <c r="O6" s="384" t="str">
        <f>IF(B5&lt;&gt;"",(N7+O7/100-N5-O5/100-N6)*100,"")</f>
        <v/>
      </c>
      <c r="P6" s="279"/>
      <c r="Q6" s="279"/>
      <c r="R6" s="279"/>
    </row>
    <row r="7" spans="1:20" ht="15.1" x14ac:dyDescent="0.4">
      <c r="A7" s="371"/>
      <c r="B7" s="372"/>
      <c r="C7" s="372"/>
      <c r="D7" s="385" t="s">
        <v>590</v>
      </c>
      <c r="E7" s="386"/>
      <c r="F7" s="387" t="str">
        <f>IF(D5&lt;&gt;"",INDEX(tbl_Neo_MedIV,NeoBerIV!B20,2),"")</f>
        <v/>
      </c>
      <c r="G7" s="386"/>
      <c r="H7" s="386"/>
      <c r="I7" s="388"/>
      <c r="J7" s="388"/>
      <c r="K7" s="389" t="str">
        <f>NeoPrtWerkbr!J28</f>
        <v>Totaal</v>
      </c>
      <c r="L7" s="388"/>
      <c r="M7" s="388"/>
      <c r="N7" s="390" t="str">
        <f>IF(B5&lt;&gt;"",IF(D5&lt;&gt;"lidocaine",IF(_Neo_1700_OplHoev_1&lt;25,2*TRUNC(_Neo_1700_OplHoev_1),TRUNC(_Neo_1700_OplHoev_1)),TRUNC(_Neo_1700_OplHoev_1*1.5)),"")</f>
        <v/>
      </c>
      <c r="O7" s="391" t="str">
        <f>IF(B5&lt;&gt;"",IF(D5&lt;&gt;"lidocaine",IF(_Neo_1700_OplHoev_1&lt;25,(2*_Neo_1700_OplHoev_1-N7)*100,(_Neo_1700_OplHoev_1-N7)*100),1.5*_Neo_1700_OplHoev_1-N7),"")</f>
        <v/>
      </c>
      <c r="P7" s="279"/>
      <c r="Q7" s="279"/>
      <c r="R7" s="279"/>
    </row>
    <row r="8" spans="1:20" ht="10" customHeight="1" x14ac:dyDescent="0.4">
      <c r="A8" s="371"/>
      <c r="B8" s="345"/>
      <c r="C8" s="345"/>
      <c r="D8" s="329"/>
      <c r="E8" s="329"/>
      <c r="F8" s="392"/>
      <c r="G8" s="329"/>
      <c r="H8" s="329"/>
      <c r="I8" s="329"/>
      <c r="J8" s="329"/>
      <c r="K8" s="330"/>
      <c r="L8" s="329"/>
      <c r="M8" s="329"/>
      <c r="N8" s="393"/>
      <c r="O8" s="394"/>
      <c r="P8" s="279"/>
      <c r="Q8" s="279"/>
      <c r="R8" s="279"/>
    </row>
    <row r="9" spans="1:20" ht="15.1" x14ac:dyDescent="0.4">
      <c r="A9" s="371">
        <v>2</v>
      </c>
      <c r="B9" s="395" t="str">
        <f>IF(NeoPrtWerkbr!C29&lt;&gt;"zijlijn",NeoPrtWerkbr!A29,"")</f>
        <v/>
      </c>
      <c r="C9" s="395"/>
      <c r="D9" s="307" t="str">
        <f>NeoPrtWerkbr!C29</f>
        <v/>
      </c>
      <c r="E9" s="308"/>
      <c r="F9" s="396" t="str">
        <f>IF(NeoPrtWerkbr!E29&lt;&gt;"",IF(D9&lt;&gt;"lidocaine",IF(NeoPrtWerkbr!M31&lt;25,NeoPrtWerkbr!E29*2,NeoPrtWerkbr!E29),NeoPrtWerkbr!E29*1.5),"")</f>
        <v/>
      </c>
      <c r="G9" s="308" t="str">
        <f>NeoPrtWerkbr!F29</f>
        <v>mg</v>
      </c>
      <c r="H9" s="397" t="str">
        <f>NeoPrtWerkbr!G29</f>
        <v>(</v>
      </c>
      <c r="I9" s="308" t="str">
        <f>NeoPrtWerkbr!H29</f>
        <v/>
      </c>
      <c r="J9" s="308" t="str">
        <f>NeoPrtWerkbr!I29</f>
        <v>mg=</v>
      </c>
      <c r="K9" s="308" t="str">
        <f>NeoPrtWerkbr!J29</f>
        <v/>
      </c>
      <c r="L9" s="308" t="str">
        <f>NeoPrtWerkbr!K29</f>
        <v>ml)</v>
      </c>
      <c r="M9" s="308"/>
      <c r="N9" s="398" t="str">
        <f>IF(B9&lt;&gt;"",IF(B9&gt;0,TRUNC((K9/I9)*F9),0),"")</f>
        <v/>
      </c>
      <c r="O9" s="399" t="str">
        <f>IF(B9&lt;&gt;"",(IF(B9&gt;0,ROUND((K9/I9)*F9,2),0)-N9)*100,"")</f>
        <v/>
      </c>
      <c r="P9" s="279"/>
      <c r="Q9" s="279"/>
      <c r="R9" s="279"/>
    </row>
    <row r="10" spans="1:20" ht="15.1" x14ac:dyDescent="0.4">
      <c r="A10" s="371"/>
      <c r="B10" s="395"/>
      <c r="C10" s="395"/>
      <c r="D10" s="400" t="str">
        <f>NeoPrtWerkbr!C31</f>
        <v/>
      </c>
      <c r="E10" s="279"/>
      <c r="F10" s="279" t="str">
        <f>NeoPrtWerkbr!E31</f>
        <v/>
      </c>
      <c r="G10" s="279"/>
      <c r="H10" s="401"/>
      <c r="I10" s="279"/>
      <c r="J10" s="279" t="str">
        <f>NeoPrtWerkbr!I30</f>
        <v>in</v>
      </c>
      <c r="K10" s="286" t="str">
        <f>IF(AND(D9&lt;&gt;"Nepresol (dihydralazine)",D9&lt;&gt;"Flolan (epoprostenol)"),NeoPrtWerkbr!J30,"NaCl 0,9%")</f>
        <v/>
      </c>
      <c r="L10" s="279"/>
      <c r="M10" s="279"/>
      <c r="N10" s="398" t="str">
        <f>IF(B9&lt;&gt;"",TRUNC(IF(B9&gt;0,N11+O11/100-N9-O9/100,0)),"")</f>
        <v/>
      </c>
      <c r="O10" s="399" t="str">
        <f>IF(B9&lt;&gt;"",(IF(B9&gt;0,N11+O11/100-N9-O9/100,0)-N10)*100,"")</f>
        <v/>
      </c>
      <c r="P10" s="279"/>
      <c r="Q10" s="279"/>
      <c r="R10" s="279"/>
    </row>
    <row r="11" spans="1:20" ht="15.1" x14ac:dyDescent="0.4">
      <c r="A11" s="371"/>
      <c r="B11" s="395"/>
      <c r="C11" s="395"/>
      <c r="D11" s="402" t="s">
        <v>590</v>
      </c>
      <c r="E11" s="403"/>
      <c r="F11" s="404" t="str">
        <f>IF(D9&lt;&gt;"",INDEX(tbl_Neo_MedIV,NeoBerIV!B21,2),"")</f>
        <v/>
      </c>
      <c r="G11" s="403"/>
      <c r="H11" s="405"/>
      <c r="I11" s="406"/>
      <c r="J11" s="406"/>
      <c r="K11" s="407" t="str">
        <f>NeoPrtWerkbr!J31</f>
        <v>Totaal</v>
      </c>
      <c r="L11" s="406"/>
      <c r="M11" s="406"/>
      <c r="N11" s="408" t="str">
        <f>IF(B9&lt;&gt;"",IF(D9&lt;&gt;"lidocaine",IF(_Neo_1700_OplHoev_2&lt;25,2*TRUNC(_Neo_1700_OplHoev_2),TRUNC(_Neo_1700_OplHoev_2)),TRUNC(_Neo_1700_OplHoev_2*1.5)),"")</f>
        <v/>
      </c>
      <c r="O11" s="409" t="str">
        <f>IF(B9&lt;&gt;"",IF(D9&lt;&gt;"lidocaine",IF(_Neo_1700_OplHoev_2&lt;25,(2*_Neo_1700_OplHoev_2-N11)*100,(_Neo_1700_OplHoev_2-N11)*100),1.5*_Neo_1700_OplHoev_2-N11),"")</f>
        <v/>
      </c>
      <c r="P11" s="279"/>
      <c r="Q11" s="279"/>
      <c r="R11" s="279"/>
    </row>
    <row r="12" spans="1:20" ht="10" customHeight="1" x14ac:dyDescent="0.4">
      <c r="A12" s="371"/>
      <c r="B12" s="410"/>
      <c r="C12" s="410"/>
      <c r="D12" s="308"/>
      <c r="E12" s="308"/>
      <c r="F12" s="411"/>
      <c r="G12" s="308"/>
      <c r="H12" s="397"/>
      <c r="I12" s="308"/>
      <c r="J12" s="308"/>
      <c r="K12" s="396"/>
      <c r="L12" s="308"/>
      <c r="M12" s="308"/>
      <c r="N12" s="412"/>
      <c r="O12" s="413"/>
      <c r="P12" s="279"/>
      <c r="Q12" s="279"/>
      <c r="R12" s="279"/>
    </row>
    <row r="13" spans="1:20" ht="15.1" x14ac:dyDescent="0.4">
      <c r="A13" s="371">
        <v>3</v>
      </c>
      <c r="B13" s="372" t="str">
        <f>IF(NeoPrtWerkbr!C32&lt;&gt;"zijlijn",NeoPrtWerkbr!A32,"")</f>
        <v/>
      </c>
      <c r="C13" s="372"/>
      <c r="D13" s="373" t="str">
        <f>NeoPrtWerkbr!C32</f>
        <v/>
      </c>
      <c r="E13" s="374"/>
      <c r="F13" s="375" t="str">
        <f>IF(NeoPrtWerkbr!E32&lt;&gt;"",IF(D13&lt;&gt;"lidocaine",IF(NeoPrtWerkbr!M34&lt;25,NeoPrtWerkbr!E32*2,NeoPrtWerkbr!E32),NeoPrtWerkbr!E32*1.5),"")</f>
        <v/>
      </c>
      <c r="G13" s="374" t="str">
        <f>NeoPrtWerkbr!F32</f>
        <v>mg</v>
      </c>
      <c r="H13" s="376" t="str">
        <f>NeoPrtWerkbr!G32</f>
        <v>(</v>
      </c>
      <c r="I13" s="374" t="str">
        <f>NeoPrtWerkbr!H32</f>
        <v/>
      </c>
      <c r="J13" s="374" t="str">
        <f>NeoPrtWerkbr!I32</f>
        <v>mg=</v>
      </c>
      <c r="K13" s="374" t="str">
        <f>NeoPrtWerkbr!J32</f>
        <v/>
      </c>
      <c r="L13" s="374" t="str">
        <f>NeoPrtWerkbr!K32</f>
        <v>ml)</v>
      </c>
      <c r="M13" s="374"/>
      <c r="N13" s="377" t="str">
        <f>IF(B13&lt;&gt;"",IF(B13&gt;0,TRUNC((K13/I13)*F13),0),"")</f>
        <v/>
      </c>
      <c r="O13" s="378" t="str">
        <f>IF(B13&lt;&gt;"",(IF(B13&gt;0,ROUND((K13/I13)*F13,2),0)-N13)*100,"")</f>
        <v/>
      </c>
      <c r="P13" s="279"/>
      <c r="Q13" s="279"/>
      <c r="R13" s="279"/>
      <c r="T13" s="287"/>
    </row>
    <row r="14" spans="1:20" ht="15.1" x14ac:dyDescent="0.4">
      <c r="A14" s="371"/>
      <c r="B14" s="372"/>
      <c r="C14" s="372"/>
      <c r="D14" s="379" t="str">
        <f>NeoPrtWerkbr!C34</f>
        <v/>
      </c>
      <c r="E14" s="380"/>
      <c r="F14" s="380" t="str">
        <f>NeoPrtWerkbr!E34</f>
        <v/>
      </c>
      <c r="G14" s="380"/>
      <c r="H14" s="381"/>
      <c r="I14" s="380"/>
      <c r="J14" s="380" t="str">
        <f>NeoPrtWerkbr!I33</f>
        <v>in</v>
      </c>
      <c r="K14" s="382" t="str">
        <f>IF(AND(D13&lt;&gt;"Nepresol (dihydralazine)",D13&lt;&gt;"Flolan (epoprostenol)"),NeoPrtWerkbr!J33,"NaCl 0,9%")</f>
        <v/>
      </c>
      <c r="L14" s="380"/>
      <c r="M14" s="380"/>
      <c r="N14" s="383" t="str">
        <f>IF(B13&lt;&gt;"",TRUNC(IF(B13&gt;0,N15+O15/100-N13-O13/100,0)),"")</f>
        <v/>
      </c>
      <c r="O14" s="384" t="str">
        <f>IF(B13&lt;&gt;"",(IF(B13&gt;0,N15+O15/100-N13-O13/100,0)-N14)*100,"")</f>
        <v/>
      </c>
      <c r="P14" s="279"/>
      <c r="Q14" s="279"/>
      <c r="R14" s="279"/>
    </row>
    <row r="15" spans="1:20" ht="15.1" x14ac:dyDescent="0.4">
      <c r="A15" s="371"/>
      <c r="B15" s="372"/>
      <c r="C15" s="372"/>
      <c r="D15" s="385" t="s">
        <v>590</v>
      </c>
      <c r="E15" s="386"/>
      <c r="F15" s="387" t="str">
        <f>IF(D13&lt;&gt;"",INDEX(tbl_Neo_MedIV,NeoBerIV!B22,2),"")</f>
        <v/>
      </c>
      <c r="G15" s="386"/>
      <c r="H15" s="388"/>
      <c r="I15" s="388"/>
      <c r="J15" s="388"/>
      <c r="K15" s="389" t="str">
        <f>NeoPrtWerkbr!J34</f>
        <v>Totaal</v>
      </c>
      <c r="L15" s="388"/>
      <c r="M15" s="388"/>
      <c r="N15" s="390" t="str">
        <f>IF(B13&lt;&gt;"",IF(D13&lt;&gt;"lidocaine",IF(_Neo_1700_OplHoev_3&lt;25,2*TRUNC(_Neo_1700_OplHoev_3),TRUNC(_Neo_1700_OplHoev_3)),TRUNC(_Neo_1700_OplHoev_3*1.5)),"")</f>
        <v/>
      </c>
      <c r="O15" s="391" t="str">
        <f>IF(B13&lt;&gt;"",IF(D13&lt;&gt;"lidocaine",IF(_Neo_1700_OplHoev_3&lt;25,(2*_Neo_1700_OplHoev_3-N15)*100,(_Neo_1700_OplHoev_3-N15)*100),1.5*_Neo_1700_OplHoev_3-N15),"")</f>
        <v/>
      </c>
      <c r="P15" s="279"/>
      <c r="Q15" s="279"/>
      <c r="R15" s="279"/>
    </row>
    <row r="16" spans="1:20" ht="10" customHeight="1" x14ac:dyDescent="0.4">
      <c r="A16" s="371"/>
      <c r="B16" s="345"/>
      <c r="C16" s="345"/>
      <c r="D16" s="329"/>
      <c r="E16" s="329"/>
      <c r="F16" s="392"/>
      <c r="G16" s="329"/>
      <c r="H16" s="329"/>
      <c r="I16" s="329"/>
      <c r="J16" s="329"/>
      <c r="K16" s="330"/>
      <c r="L16" s="329"/>
      <c r="M16" s="329"/>
      <c r="N16" s="393"/>
      <c r="O16" s="394"/>
      <c r="P16" s="279"/>
      <c r="Q16" s="279"/>
      <c r="R16" s="279"/>
    </row>
    <row r="17" spans="1:18" ht="15.1" x14ac:dyDescent="0.4">
      <c r="A17" s="371">
        <v>4</v>
      </c>
      <c r="B17" s="395" t="str">
        <f>IF(NeoPrtWerkbr!C35&lt;&gt;"zijlijn",NeoPrtWerkbr!A35,"")</f>
        <v/>
      </c>
      <c r="C17" s="395"/>
      <c r="D17" s="307" t="str">
        <f>NeoPrtWerkbr!C35</f>
        <v/>
      </c>
      <c r="E17" s="308"/>
      <c r="F17" s="396" t="str">
        <f>IF(NeoPrtWerkbr!E35&lt;&gt;"",IF(D17&lt;&gt;"lidocaine",IF(NeoPrtWerkbr!M37&lt;25,NeoPrtWerkbr!E35*2,NeoPrtWerkbr!E35),NeoPrtWerkbr!E35*1.5),"")</f>
        <v/>
      </c>
      <c r="G17" s="308" t="str">
        <f>NeoPrtWerkbr!F35</f>
        <v>mg</v>
      </c>
      <c r="H17" s="397" t="str">
        <f>NeoPrtWerkbr!G35</f>
        <v>(</v>
      </c>
      <c r="I17" s="308" t="str">
        <f>NeoPrtWerkbr!H35</f>
        <v/>
      </c>
      <c r="J17" s="308" t="str">
        <f>NeoPrtWerkbr!I35</f>
        <v>mg=</v>
      </c>
      <c r="K17" s="308" t="str">
        <f>NeoPrtWerkbr!J35</f>
        <v/>
      </c>
      <c r="L17" s="308" t="str">
        <f>NeoPrtWerkbr!K35</f>
        <v>ml)</v>
      </c>
      <c r="M17" s="308"/>
      <c r="N17" s="398" t="str">
        <f>IF(B17&lt;&gt;"",IF(B17&gt;0,TRUNC((K17/I17)*F17),0),"")</f>
        <v/>
      </c>
      <c r="O17" s="399" t="str">
        <f>IF(B17&lt;&gt;"",(IF(B17&gt;0,ROUND((K17/I17)*F17,2),0)-N17)*100,"")</f>
        <v/>
      </c>
      <c r="P17" s="279"/>
      <c r="Q17" s="279"/>
      <c r="R17" s="279"/>
    </row>
    <row r="18" spans="1:18" ht="15.1" x14ac:dyDescent="0.4">
      <c r="A18" s="371"/>
      <c r="B18" s="395"/>
      <c r="C18" s="395"/>
      <c r="D18" s="400" t="str">
        <f>NeoPrtWerkbr!C37</f>
        <v/>
      </c>
      <c r="E18" s="279"/>
      <c r="F18" s="279" t="str">
        <f>NeoPrtWerkbr!E37</f>
        <v/>
      </c>
      <c r="G18" s="279"/>
      <c r="H18" s="401"/>
      <c r="I18" s="279"/>
      <c r="J18" s="279" t="str">
        <f>NeoPrtWerkbr!I36</f>
        <v>in</v>
      </c>
      <c r="K18" s="286" t="str">
        <f>IF(AND(D17&lt;&gt;"Nepresol (dihydralazine)",D17&lt;&gt;"Flolan (epoprostenol)"),NeoPrtWerkbr!J36,"NaCl 0,9%")</f>
        <v/>
      </c>
      <c r="L18" s="279"/>
      <c r="M18" s="279"/>
      <c r="N18" s="398" t="str">
        <f>IF(B17&lt;&gt;"",TRUNC(IF(B17&gt;0,N19+O19/100-N17-O17/100,0)),"")</f>
        <v/>
      </c>
      <c r="O18" s="399" t="str">
        <f>IF(B17&lt;&gt;"",(IF(B17&gt;0,N19+O19/100-N17-O17/100,0)-N18)*100,"")</f>
        <v/>
      </c>
      <c r="P18" s="279"/>
      <c r="Q18" s="279"/>
      <c r="R18" s="279"/>
    </row>
    <row r="19" spans="1:18" ht="15.1" x14ac:dyDescent="0.4">
      <c r="A19" s="371"/>
      <c r="B19" s="395"/>
      <c r="C19" s="395"/>
      <c r="D19" s="402" t="s">
        <v>590</v>
      </c>
      <c r="E19" s="403"/>
      <c r="F19" s="404" t="str">
        <f>IF(D17&lt;&gt;"",INDEX(tbl_Neo_MedIV,NeoBerIV!B23,2),"")</f>
        <v/>
      </c>
      <c r="G19" s="403"/>
      <c r="H19" s="403"/>
      <c r="I19" s="406"/>
      <c r="J19" s="406"/>
      <c r="K19" s="407" t="str">
        <f>NeoPrtWerkbr!J37</f>
        <v>Totaal</v>
      </c>
      <c r="L19" s="406"/>
      <c r="M19" s="406"/>
      <c r="N19" s="408" t="str">
        <f>IF(B17&lt;&gt;"",IF(D17&lt;&gt;"lidocaine",IF(_Neo_1700_OplHoev_4&lt;25,2*TRUNC(_Neo_1700_OplHoev_4),TRUNC(_Neo_1700_OplHoev_4)),TRUNC(_Neo_1700_OplHoev_4*1.5)),"")</f>
        <v/>
      </c>
      <c r="O19" s="409" t="str">
        <f>IF(B17&lt;&gt;"",IF(D17&lt;&gt;"lidocaine",IF(_Neo_1700_OplHoev_4&lt;25,(2*_Neo_1700_OplHoev_4-N19)*100,(_Neo_1700_OplHoev_4-N19)*100),1.5*_Neo_1700_OplHoev_4-N19),"")</f>
        <v/>
      </c>
      <c r="P19" s="279"/>
      <c r="Q19" s="279"/>
      <c r="R19" s="279"/>
    </row>
    <row r="20" spans="1:18" ht="10" customHeight="1" x14ac:dyDescent="0.4">
      <c r="A20" s="371"/>
      <c r="B20" s="410"/>
      <c r="C20" s="410"/>
      <c r="D20" s="308"/>
      <c r="E20" s="308"/>
      <c r="F20" s="411"/>
      <c r="G20" s="308"/>
      <c r="H20" s="308"/>
      <c r="I20" s="308"/>
      <c r="J20" s="308"/>
      <c r="K20" s="396"/>
      <c r="L20" s="308"/>
      <c r="M20" s="308"/>
      <c r="N20" s="412"/>
      <c r="O20" s="413"/>
      <c r="P20" s="279"/>
      <c r="Q20" s="279"/>
      <c r="R20" s="279"/>
    </row>
    <row r="21" spans="1:18" ht="15.1" x14ac:dyDescent="0.4">
      <c r="A21" s="371">
        <v>5</v>
      </c>
      <c r="B21" s="372" t="str">
        <f>IF(NeoPrtWerkbr!C38&lt;&gt;"zijlijn",NeoPrtWerkbr!A38,"")</f>
        <v/>
      </c>
      <c r="C21" s="372"/>
      <c r="D21" s="373" t="str">
        <f>NeoPrtWerkbr!C38</f>
        <v/>
      </c>
      <c r="E21" s="374"/>
      <c r="F21" s="375" t="str">
        <f>IF(NeoPrtWerkbr!E38&lt;&gt;"",IF(D21&lt;&gt;"lidocaine",IF(NeoPrtWerkbr!M40&lt;25,NeoPrtWerkbr!E38*2,NeoPrtWerkbr!E38),NeoPrtWerkbr!E38*1.5),"")</f>
        <v/>
      </c>
      <c r="G21" s="374" t="str">
        <f>NeoPrtWerkbr!F38</f>
        <v>mg</v>
      </c>
      <c r="H21" s="376" t="str">
        <f>NeoPrtWerkbr!G38</f>
        <v>(</v>
      </c>
      <c r="I21" s="374" t="str">
        <f>NeoPrtWerkbr!H38</f>
        <v/>
      </c>
      <c r="J21" s="374" t="str">
        <f>NeoPrtWerkbr!I38</f>
        <v>mg=</v>
      </c>
      <c r="K21" s="374" t="str">
        <f>NeoPrtWerkbr!J38</f>
        <v/>
      </c>
      <c r="L21" s="374" t="str">
        <f>NeoPrtWerkbr!K38</f>
        <v>ml)</v>
      </c>
      <c r="M21" s="374"/>
      <c r="N21" s="377" t="str">
        <f>IF(B21&lt;&gt;"",IF(B21&gt;0,TRUNC((K21/I21)*F21),0),"")</f>
        <v/>
      </c>
      <c r="O21" s="378" t="str">
        <f>IF(B21&lt;&gt;"",(IF(B21&gt;0,ROUND((K21/I21)*F21,2),0)-N21)*100,"")</f>
        <v/>
      </c>
      <c r="P21" s="279"/>
      <c r="Q21" s="279"/>
      <c r="R21" s="279"/>
    </row>
    <row r="22" spans="1:18" ht="15.1" x14ac:dyDescent="0.4">
      <c r="A22" s="371"/>
      <c r="B22" s="372"/>
      <c r="C22" s="372"/>
      <c r="D22" s="379" t="str">
        <f>NeoPrtWerkbr!C40</f>
        <v/>
      </c>
      <c r="E22" s="380"/>
      <c r="F22" s="380" t="str">
        <f>NeoPrtWerkbr!E40</f>
        <v/>
      </c>
      <c r="G22" s="380"/>
      <c r="H22" s="381"/>
      <c r="I22" s="380"/>
      <c r="J22" s="380" t="str">
        <f>NeoPrtWerkbr!I39</f>
        <v>in</v>
      </c>
      <c r="K22" s="382" t="str">
        <f>IF(AND(D21&lt;&gt;"Nepresol (dihydralazine)",D21&lt;&gt;"Flolan (epoprostenol)"),NeoPrtWerkbr!J39,"NaCl 0,9%")</f>
        <v/>
      </c>
      <c r="L22" s="380"/>
      <c r="M22" s="380"/>
      <c r="N22" s="383" t="str">
        <f>IF(B21&lt;&gt;"",TRUNC(IF(B21&gt;0,N23+O23/100-N21-O21/100,0)),"")</f>
        <v/>
      </c>
      <c r="O22" s="384" t="str">
        <f>IF(B21&lt;&gt;"",(IF(B21&gt;0,N23+O23/100-N21-O21/100,0)-N22)*100,"")</f>
        <v/>
      </c>
      <c r="P22" s="279"/>
      <c r="Q22" s="279"/>
      <c r="R22" s="279"/>
    </row>
    <row r="23" spans="1:18" ht="15.1" x14ac:dyDescent="0.4">
      <c r="A23" s="371"/>
      <c r="B23" s="372"/>
      <c r="C23" s="372"/>
      <c r="D23" s="385" t="s">
        <v>590</v>
      </c>
      <c r="E23" s="386"/>
      <c r="F23" s="387" t="str">
        <f>IF(D21&lt;&gt;"",INDEX(tbl_Neo_MedIV,NeoBerIV!B24,2),"")</f>
        <v/>
      </c>
      <c r="G23" s="386"/>
      <c r="H23" s="414"/>
      <c r="I23" s="388"/>
      <c r="J23" s="388"/>
      <c r="K23" s="389" t="str">
        <f>NeoPrtWerkbr!J40</f>
        <v>Totaal</v>
      </c>
      <c r="L23" s="388"/>
      <c r="M23" s="388"/>
      <c r="N23" s="390" t="str">
        <f>IF(B21&lt;&gt;"",IF(D21&lt;&gt;"lidocaine",IF(_Neo_1700_OplHoev_5&lt;25,2*TRUNC(_Neo_1700_OplHoev_5),TRUNC(_Neo_1700_OplHoev_5)),TRUNC(_Neo_1700_OplHoev_5*1.5)),"")</f>
        <v/>
      </c>
      <c r="O23" s="391" t="str">
        <f>IF(B21&lt;&gt;"",IF(D21&lt;&gt;"lidocaine",IF(_Neo_1700_OplHoev_5&lt;25,(2*_Neo_1700_OplHoev_5-N23)*100,(_Neo_1700_OplHoev_5-N23)*100),1.5*_Neo_1700_OplHoev_5-N23),"")</f>
        <v/>
      </c>
      <c r="P23" s="279"/>
      <c r="Q23" s="279"/>
      <c r="R23" s="279"/>
    </row>
    <row r="24" spans="1:18" ht="10" customHeight="1" x14ac:dyDescent="0.4">
      <c r="A24" s="371"/>
      <c r="B24" s="345"/>
      <c r="C24" s="345"/>
      <c r="D24" s="329"/>
      <c r="E24" s="329"/>
      <c r="F24" s="392"/>
      <c r="G24" s="329"/>
      <c r="H24" s="357"/>
      <c r="I24" s="329"/>
      <c r="J24" s="329"/>
      <c r="K24" s="330"/>
      <c r="L24" s="329"/>
      <c r="M24" s="329"/>
      <c r="N24" s="393"/>
      <c r="O24" s="394"/>
      <c r="P24" s="279"/>
      <c r="Q24" s="279"/>
      <c r="R24" s="279"/>
    </row>
    <row r="25" spans="1:18" ht="15.1" x14ac:dyDescent="0.4">
      <c r="A25" s="371">
        <v>6</v>
      </c>
      <c r="B25" s="395" t="str">
        <f>IF(NeoPrtWerkbr!C41&lt;&gt;"zijlijn",NeoPrtWerkbr!A41,"")</f>
        <v/>
      </c>
      <c r="C25" s="395"/>
      <c r="D25" s="307" t="str">
        <f>NeoPrtWerkbr!C41</f>
        <v/>
      </c>
      <c r="E25" s="308"/>
      <c r="F25" s="396" t="str">
        <f>IF(NeoPrtWerkbr!E41&lt;&gt;"",IF(D25&lt;&gt;"lidocaine",IF(NeoPrtWerkbr!M43&lt;25,NeoPrtWerkbr!E41*2,NeoPrtWerkbr!E41),NeoPrtWerkbr!E41*1.5),"")</f>
        <v/>
      </c>
      <c r="G25" s="308" t="str">
        <f>NeoPrtWerkbr!F41</f>
        <v>mg</v>
      </c>
      <c r="H25" s="397" t="str">
        <f>NeoPrtWerkbr!G41</f>
        <v>(</v>
      </c>
      <c r="I25" s="308" t="str">
        <f>NeoPrtWerkbr!H41</f>
        <v/>
      </c>
      <c r="J25" s="308" t="str">
        <f>NeoPrtWerkbr!I41</f>
        <v>mg=</v>
      </c>
      <c r="K25" s="308" t="str">
        <f>NeoPrtWerkbr!J41</f>
        <v/>
      </c>
      <c r="L25" s="308" t="str">
        <f>NeoPrtWerkbr!K41</f>
        <v>ml)</v>
      </c>
      <c r="M25" s="308"/>
      <c r="N25" s="398" t="str">
        <f>IF(B25&lt;&gt;"",IF(B25&gt;0,TRUNC((K25/I25)*F25),0),"")</f>
        <v/>
      </c>
      <c r="O25" s="399" t="str">
        <f>IF(B25&lt;&gt;"",(IF(B25&gt;0,ROUND((K25/I25)*F25,2),0)-N25)*100,"")</f>
        <v/>
      </c>
      <c r="P25" s="279"/>
      <c r="Q25" s="279"/>
      <c r="R25" s="279"/>
    </row>
    <row r="26" spans="1:18" ht="15.1" x14ac:dyDescent="0.4">
      <c r="A26" s="371"/>
      <c r="B26" s="395"/>
      <c r="C26" s="395"/>
      <c r="D26" s="400" t="str">
        <f>NeoPrtWerkbr!C43</f>
        <v/>
      </c>
      <c r="E26" s="279"/>
      <c r="F26" s="279" t="str">
        <f>NeoPrtWerkbr!E43</f>
        <v/>
      </c>
      <c r="G26" s="279"/>
      <c r="H26" s="401"/>
      <c r="I26" s="279"/>
      <c r="J26" s="279" t="str">
        <f>NeoPrtWerkbr!I42</f>
        <v>in</v>
      </c>
      <c r="K26" s="286" t="str">
        <f>IF(AND(D25&lt;&gt;"Nepresol (dihydralazine)",D25&lt;&gt;"Flolan (epoprostenol)"),NeoPrtWerkbr!J42,"NaCl 0,9%")</f>
        <v/>
      </c>
      <c r="L26" s="279"/>
      <c r="M26" s="279"/>
      <c r="N26" s="398" t="str">
        <f>IF(B25&lt;&gt;"",TRUNC(IF(B25&gt;0,N27+O27/100-N25-O25/100,0)),"")</f>
        <v/>
      </c>
      <c r="O26" s="399" t="str">
        <f>IF(B25&lt;&gt;"",(IF(B25&gt;0,N27+O27/100-N25-O25/100,0)-N26)*100,"")</f>
        <v/>
      </c>
      <c r="P26" s="279"/>
      <c r="Q26" s="279"/>
      <c r="R26" s="279"/>
    </row>
    <row r="27" spans="1:18" ht="15.1" x14ac:dyDescent="0.4">
      <c r="A27" s="371"/>
      <c r="B27" s="395"/>
      <c r="C27" s="395"/>
      <c r="D27" s="402" t="s">
        <v>590</v>
      </c>
      <c r="E27" s="403"/>
      <c r="F27" s="404" t="str">
        <f>IF(D25&lt;&gt;"",INDEX(tbl_Neo_MedIV,NeoBerIV!B25,2),"")</f>
        <v/>
      </c>
      <c r="G27" s="403"/>
      <c r="H27" s="415"/>
      <c r="I27" s="406"/>
      <c r="J27" s="406"/>
      <c r="K27" s="407" t="str">
        <f>NeoPrtWerkbr!J43</f>
        <v>Totaal</v>
      </c>
      <c r="L27" s="406"/>
      <c r="M27" s="406"/>
      <c r="N27" s="408" t="str">
        <f>IF(B25&lt;&gt;"",IF(D25&lt;&gt;"lidocaine",IF(_Neo_1700_OplHoev_6&lt;25,2*TRUNC(_Neo_1700_OplHoev_6),TRUNC(_Neo_1700_OplHoev_6)),TRUNC(_Neo_1700_OplHoev_6*1.5)),"")</f>
        <v/>
      </c>
      <c r="O27" s="409" t="str">
        <f>IF(B25&lt;&gt;"",IF(D25&lt;&gt;"lidocaine",IF(_Neo_1700_OplHoev_6&lt;25,(2*_Neo_1700_OplHoev_6-N27)*100,(_Neo_1700_OplHoev_6-N27)*100),1.5*_Neo_1700_OplHoev_6-N27),"")</f>
        <v/>
      </c>
      <c r="P27" s="279"/>
      <c r="Q27" s="279"/>
      <c r="R27" s="279"/>
    </row>
    <row r="28" spans="1:18" ht="10" customHeight="1" x14ac:dyDescent="0.4">
      <c r="A28" s="371"/>
      <c r="B28" s="410"/>
      <c r="C28" s="410"/>
      <c r="D28" s="308"/>
      <c r="E28" s="308"/>
      <c r="F28" s="411"/>
      <c r="G28" s="308"/>
      <c r="H28" s="397"/>
      <c r="I28" s="308"/>
      <c r="J28" s="308"/>
      <c r="K28" s="396"/>
      <c r="L28" s="308"/>
      <c r="M28" s="308"/>
      <c r="N28" s="412"/>
      <c r="O28" s="413"/>
      <c r="P28" s="279"/>
      <c r="Q28" s="279"/>
      <c r="R28" s="279"/>
    </row>
    <row r="29" spans="1:18" ht="15.1" x14ac:dyDescent="0.4">
      <c r="A29" s="371">
        <v>7</v>
      </c>
      <c r="B29" s="372" t="str">
        <f>IF(NeoPrtWerkbr!C44&lt;&gt;"zijlijn",NeoPrtWerkbr!A44,"")</f>
        <v/>
      </c>
      <c r="C29" s="372"/>
      <c r="D29" s="373" t="str">
        <f>NeoPrtWerkbr!C44</f>
        <v/>
      </c>
      <c r="E29" s="374"/>
      <c r="F29" s="375" t="str">
        <f>IF(NeoPrtWerkbr!E44&lt;&gt;"",IF(D29&lt;&gt;"lidocaine",IF(NeoPrtWerkbr!M46&lt;25,NeoPrtWerkbr!E44*2,NeoPrtWerkbr!E44),NeoPrtWerkbr!E44*1.5),"")</f>
        <v/>
      </c>
      <c r="G29" s="374" t="str">
        <f>NeoPrtWerkbr!F44</f>
        <v>mg</v>
      </c>
      <c r="H29" s="376" t="str">
        <f>NeoPrtWerkbr!G44</f>
        <v>(</v>
      </c>
      <c r="I29" s="374" t="str">
        <f>NeoPrtWerkbr!H44</f>
        <v/>
      </c>
      <c r="J29" s="374" t="str">
        <f>NeoPrtWerkbr!I44</f>
        <v>mg=</v>
      </c>
      <c r="K29" s="374" t="str">
        <f>NeoPrtWerkbr!J44</f>
        <v/>
      </c>
      <c r="L29" s="374" t="str">
        <f>NeoPrtWerkbr!K44</f>
        <v>ml)</v>
      </c>
      <c r="M29" s="374"/>
      <c r="N29" s="377" t="str">
        <f>IF(B29&lt;&gt;"",IF(B29&gt;0,TRUNC((K29/I29)*F29),0),"")</f>
        <v/>
      </c>
      <c r="O29" s="378" t="str">
        <f>IF(B29&lt;&gt;"",(IF(B29&gt;0,ROUND((K29/I29)*F29,2),0)-N29)*100,"")</f>
        <v/>
      </c>
      <c r="P29" s="279"/>
      <c r="Q29" s="279"/>
      <c r="R29" s="279"/>
    </row>
    <row r="30" spans="1:18" ht="15.1" x14ac:dyDescent="0.4">
      <c r="A30" s="371"/>
      <c r="B30" s="372"/>
      <c r="C30" s="372"/>
      <c r="D30" s="379" t="str">
        <f>NeoPrtWerkbr!C46</f>
        <v/>
      </c>
      <c r="E30" s="380"/>
      <c r="F30" s="380" t="str">
        <f>NeoPrtWerkbr!E46</f>
        <v/>
      </c>
      <c r="G30" s="380"/>
      <c r="H30" s="381"/>
      <c r="I30" s="380"/>
      <c r="J30" s="380" t="str">
        <f>NeoPrtWerkbr!I45</f>
        <v>in</v>
      </c>
      <c r="K30" s="382" t="str">
        <f>IF(AND(D29&lt;&gt;"Nepresol (dihydralazine)",D29&lt;&gt;"Flolan (epoprostenol)"),NeoPrtWerkbr!J45,"NaCl 0,9%")</f>
        <v/>
      </c>
      <c r="L30" s="380"/>
      <c r="M30" s="380"/>
      <c r="N30" s="383" t="str">
        <f>IF(B29&lt;&gt;"",TRUNC(IF(B29&gt;0,N31+O31/100-N29-O29/100,0)),"")</f>
        <v/>
      </c>
      <c r="O30" s="384" t="str">
        <f>IF(B29&lt;&gt;"",(IF(B29&gt;0,N31+O31/100-N29-O29/100,0)-N30)*100,"")</f>
        <v/>
      </c>
      <c r="P30" s="279"/>
      <c r="Q30" s="279"/>
      <c r="R30" s="279"/>
    </row>
    <row r="31" spans="1:18" ht="15.1" x14ac:dyDescent="0.4">
      <c r="A31" s="371"/>
      <c r="B31" s="372"/>
      <c r="C31" s="372"/>
      <c r="D31" s="385" t="s">
        <v>590</v>
      </c>
      <c r="E31" s="386"/>
      <c r="F31" s="386" t="str">
        <f>IF(D29&lt;&gt;"",INDEX(tbl_Neo_MedIV,NeoBerIV!B26,2),"")</f>
        <v/>
      </c>
      <c r="G31" s="386"/>
      <c r="H31" s="388"/>
      <c r="I31" s="388"/>
      <c r="J31" s="388"/>
      <c r="K31" s="389" t="str">
        <f>NeoPrtWerkbr!J46</f>
        <v>Totaal</v>
      </c>
      <c r="L31" s="388"/>
      <c r="M31" s="388"/>
      <c r="N31" s="390" t="str">
        <f>IF(B29&lt;&gt;"",IF(D29&lt;&gt;"lidocaine",IF(_Neo_1700_OplHoev_7&lt;25,2*TRUNC(_Neo_1700_OplHoev_7),TRUNC(_Neo_1700_OplHoev_7)),TRUNC(_Neo_1700_OplHoev_7*1.5)),"")</f>
        <v/>
      </c>
      <c r="O31" s="391" t="str">
        <f>IF(B29&lt;&gt;"",IF(D29&lt;&gt;"lidocaine",IF(_Neo_1700_OplHoev_7&lt;25,(2*_Neo_1700_OplHoev_7-N31)*100,(_Neo_1700_OplHoev_7-N31)*100),1.5*_Neo_1700_OplHoev_7-N31),"")</f>
        <v/>
      </c>
      <c r="P31" s="279"/>
      <c r="Q31" s="279"/>
      <c r="R31" s="279"/>
    </row>
    <row r="32" spans="1:18" ht="10" customHeight="1" x14ac:dyDescent="0.4">
      <c r="A32" s="371"/>
      <c r="B32" s="345"/>
      <c r="C32" s="345"/>
      <c r="D32" s="329"/>
      <c r="E32" s="329"/>
      <c r="F32" s="329"/>
      <c r="G32" s="329"/>
      <c r="H32" s="329"/>
      <c r="I32" s="329"/>
      <c r="J32" s="329"/>
      <c r="K32" s="330"/>
      <c r="L32" s="329"/>
      <c r="M32" s="329"/>
      <c r="N32" s="393"/>
      <c r="O32" s="394"/>
      <c r="P32" s="279"/>
      <c r="Q32" s="279"/>
      <c r="R32" s="279"/>
    </row>
    <row r="33" spans="1:18" ht="15.1" x14ac:dyDescent="0.4">
      <c r="A33" s="371">
        <v>8</v>
      </c>
      <c r="B33" s="395" t="str">
        <f>IF(NeoPrtWerkbr!C47&lt;&gt;"zijlijn",NeoPrtWerkbr!A47,"")</f>
        <v/>
      </c>
      <c r="C33" s="395"/>
      <c r="D33" s="307" t="str">
        <f>NeoPrtWerkbr!C47</f>
        <v/>
      </c>
      <c r="E33" s="308"/>
      <c r="F33" s="396" t="str">
        <f>IF(NeoPrtWerkbr!E47&lt;&gt;"",IF(D33&lt;&gt;"lidocaine",IF(NeoPrtWerkbr!M49&lt;25,NeoPrtWerkbr!E47*2,NeoPrtWerkbr!E47),NeoPrtWerkbr!E47*1.5),"")</f>
        <v/>
      </c>
      <c r="G33" s="308" t="str">
        <f>NeoPrtWerkbr!F47</f>
        <v>mg</v>
      </c>
      <c r="H33" s="397" t="str">
        <f>NeoPrtWerkbr!G47</f>
        <v>(</v>
      </c>
      <c r="I33" s="308" t="str">
        <f>NeoPrtWerkbr!H47</f>
        <v/>
      </c>
      <c r="J33" s="308" t="str">
        <f>NeoPrtWerkbr!I47</f>
        <v>mg=</v>
      </c>
      <c r="K33" s="308" t="str">
        <f>NeoPrtWerkbr!J47</f>
        <v/>
      </c>
      <c r="L33" s="308" t="str">
        <f>NeoPrtWerkbr!K47</f>
        <v>ml)</v>
      </c>
      <c r="M33" s="308"/>
      <c r="N33" s="398" t="str">
        <f>IF(B33&lt;&gt;"",IF(B33&gt;0,TRUNC((K33/I33)*F33),0),"")</f>
        <v/>
      </c>
      <c r="O33" s="399" t="str">
        <f>IF(B33&lt;&gt;"",(IF(B33&gt;0,ROUND((K33/I33)*F33,2),0)-N33)*100,"")</f>
        <v/>
      </c>
      <c r="P33" s="279"/>
      <c r="Q33" s="279"/>
      <c r="R33" s="279"/>
    </row>
    <row r="34" spans="1:18" ht="15.1" x14ac:dyDescent="0.4">
      <c r="A34" s="371"/>
      <c r="B34" s="395"/>
      <c r="C34" s="395"/>
      <c r="D34" s="400" t="str">
        <f>NeoPrtWerkbr!C49</f>
        <v/>
      </c>
      <c r="E34" s="279"/>
      <c r="F34" s="279" t="str">
        <f>NeoPrtWerkbr!E49</f>
        <v/>
      </c>
      <c r="G34" s="279"/>
      <c r="H34" s="401"/>
      <c r="I34" s="279"/>
      <c r="J34" s="279" t="str">
        <f>NeoPrtWerkbr!I48</f>
        <v>in</v>
      </c>
      <c r="K34" s="286" t="str">
        <f>IF(AND(D33&lt;&gt;"Nepresol (dihydralazine)",D33&lt;&gt;"Flolan (epoprostenol)"),NeoPrtWerkbr!J48,"NaCl 0,9%")</f>
        <v/>
      </c>
      <c r="L34" s="279"/>
      <c r="M34" s="279"/>
      <c r="N34" s="398" t="str">
        <f>IF(B33&lt;&gt;"",TRUNC(IF(B33&gt;0,N35+O35/100-N33-O33/100,0)),"")</f>
        <v/>
      </c>
      <c r="O34" s="399" t="str">
        <f>IF(B33&lt;&gt;"",(IF(B33&gt;0,N35+O35/100-N33-O33/100,0)-N34)*100,"")</f>
        <v/>
      </c>
      <c r="P34" s="279"/>
      <c r="Q34" s="279"/>
      <c r="R34" s="279"/>
    </row>
    <row r="35" spans="1:18" ht="15.1" x14ac:dyDescent="0.4">
      <c r="A35" s="371"/>
      <c r="B35" s="395"/>
      <c r="C35" s="395"/>
      <c r="D35" s="402" t="s">
        <v>590</v>
      </c>
      <c r="E35" s="403"/>
      <c r="F35" s="403" t="str">
        <f>IF(D33&lt;&gt;"",INDEX(tbl_Neo_MedIV,NeoBerIV!B27,2),"")</f>
        <v/>
      </c>
      <c r="G35" s="403"/>
      <c r="H35" s="406"/>
      <c r="I35" s="406"/>
      <c r="J35" s="406"/>
      <c r="K35" s="407" t="str">
        <f>NeoPrtWerkbr!J49</f>
        <v>Totaal</v>
      </c>
      <c r="L35" s="406"/>
      <c r="M35" s="406"/>
      <c r="N35" s="408" t="str">
        <f>IF(B33&lt;&gt;"",IF(D33&lt;&gt;"lidocaine",IF(_Neo_1700_OplHoev_8&lt;25,2*TRUNC(_Neo_1700_OplHoev_8),TRUNC(_Neo_1700_OplHoev_8)),TRUNC(_Neo_1700_OplHoev_8*1.5)),"")</f>
        <v/>
      </c>
      <c r="O35" s="409" t="str">
        <f>IF(B33&lt;&gt;"",IF(D33&lt;&gt;"lidocaine",IF(_Neo_1700_OplHoev_8&lt;25,(2*_Neo_1700_OplHoev_8-N35)*100,(_Neo_1700_OplHoev_8-N35)*100),1.5*_Neo_1700_OplHoev_8-N35),"")</f>
        <v/>
      </c>
      <c r="P35" s="279"/>
      <c r="Q35" s="279"/>
      <c r="R35" s="279"/>
    </row>
    <row r="36" spans="1:18" ht="10" customHeight="1" x14ac:dyDescent="0.4">
      <c r="A36" s="371"/>
      <c r="B36" s="410"/>
      <c r="C36" s="410"/>
      <c r="D36" s="308"/>
      <c r="E36" s="308"/>
      <c r="F36" s="308"/>
      <c r="G36" s="308"/>
      <c r="H36" s="308"/>
      <c r="I36" s="308"/>
      <c r="J36" s="308"/>
      <c r="K36" s="396"/>
      <c r="L36" s="308"/>
      <c r="M36" s="308"/>
      <c r="N36" s="412"/>
      <c r="O36" s="413"/>
      <c r="P36" s="279"/>
      <c r="Q36" s="279"/>
      <c r="R36" s="279"/>
    </row>
    <row r="37" spans="1:18" ht="15.1" x14ac:dyDescent="0.4">
      <c r="A37" s="371">
        <v>9</v>
      </c>
      <c r="B37" s="372" t="str">
        <f>IF(NeoPrtWerkbr!C50&lt;&gt;"zijlijn",NeoPrtWerkbr!A50,"")</f>
        <v/>
      </c>
      <c r="C37" s="372"/>
      <c r="D37" s="373" t="str">
        <f>NeoPrtWerkbr!C50</f>
        <v/>
      </c>
      <c r="E37" s="374"/>
      <c r="F37" s="375" t="str">
        <f>IF(NeoPrtWerkbr!E50&lt;&gt;"",IF(D37&lt;&gt;"lidocaine",IF(NeoPrtWerkbr!M52&lt;25,NeoPrtWerkbr!E50*2,NeoPrtWerkbr!E50),NeoPrtWerkbr!E50*1.5),"")</f>
        <v/>
      </c>
      <c r="G37" s="374" t="str">
        <f>NeoPrtWerkbr!F50</f>
        <v>mg</v>
      </c>
      <c r="H37" s="376" t="str">
        <f>NeoPrtWerkbr!G50</f>
        <v>(</v>
      </c>
      <c r="I37" s="374" t="str">
        <f>NeoPrtWerkbr!H50</f>
        <v/>
      </c>
      <c r="J37" s="374" t="str">
        <f>NeoPrtWerkbr!I50</f>
        <v>mg=</v>
      </c>
      <c r="K37" s="374" t="str">
        <f>NeoPrtWerkbr!J50</f>
        <v/>
      </c>
      <c r="L37" s="374" t="str">
        <f>NeoPrtWerkbr!K50</f>
        <v>ml)</v>
      </c>
      <c r="M37" s="374"/>
      <c r="N37" s="377" t="str">
        <f>IF(B37&lt;&gt;"",IF(B37&gt;0,TRUNC((K37/I37)*F37),0),"")</f>
        <v/>
      </c>
      <c r="O37" s="378" t="str">
        <f>IF(B37&lt;&gt;"",(IF(B37&gt;0,ROUND((K37/I37)*F37,2),0)-N37)*100,"")</f>
        <v/>
      </c>
      <c r="P37" s="279"/>
      <c r="Q37" s="279"/>
      <c r="R37" s="279"/>
    </row>
    <row r="38" spans="1:18" ht="15.1" x14ac:dyDescent="0.4">
      <c r="A38" s="371"/>
      <c r="B38" s="372"/>
      <c r="C38" s="372"/>
      <c r="D38" s="379" t="str">
        <f>NeoPrtWerkbr!C52</f>
        <v/>
      </c>
      <c r="E38" s="380"/>
      <c r="F38" s="380" t="str">
        <f>NeoPrtWerkbr!E52</f>
        <v/>
      </c>
      <c r="G38" s="380"/>
      <c r="H38" s="381"/>
      <c r="I38" s="380"/>
      <c r="J38" s="380" t="str">
        <f>NeoPrtWerkbr!I51</f>
        <v>in</v>
      </c>
      <c r="K38" s="382" t="str">
        <f>IF(AND(D37&lt;&gt;"Nepresol (dihydralazine)",D37&lt;&gt;"Flolan (epoprostenol)"),NeoPrtWerkbr!J51,"NaCl 0,9%")</f>
        <v/>
      </c>
      <c r="L38" s="380"/>
      <c r="M38" s="380"/>
      <c r="N38" s="383" t="str">
        <f>IF(B37&lt;&gt;"",TRUNC(IF(B37&gt;0,N39+O39/100-N37-O37/100,0)),"")</f>
        <v/>
      </c>
      <c r="O38" s="384" t="str">
        <f>IF(B37&lt;&gt;"",(IF(B37&gt;0,N39+O39/100-N37-O37/100,0)-N38)*100,"")</f>
        <v/>
      </c>
      <c r="P38" s="279"/>
      <c r="Q38" s="279"/>
      <c r="R38" s="279"/>
    </row>
    <row r="39" spans="1:18" ht="15.1" x14ac:dyDescent="0.4">
      <c r="A39" s="371"/>
      <c r="B39" s="372"/>
      <c r="C39" s="372"/>
      <c r="D39" s="385" t="s">
        <v>590</v>
      </c>
      <c r="E39" s="386"/>
      <c r="F39" s="386" t="str">
        <f>IF(D37&lt;&gt;"",INDEX(tbl_Neo_MedIV,NeoBerIV!B28,2),"")</f>
        <v/>
      </c>
      <c r="G39" s="386"/>
      <c r="H39" s="388"/>
      <c r="I39" s="388"/>
      <c r="J39" s="388"/>
      <c r="K39" s="389" t="str">
        <f>NeoPrtWerkbr!J52</f>
        <v>Totaal</v>
      </c>
      <c r="L39" s="388"/>
      <c r="M39" s="388"/>
      <c r="N39" s="390" t="str">
        <f>IF(B37&lt;&gt;"",IF(D37&lt;&gt;"lidocaine",IF(_Neo_1700_OplHoev_9&lt;25,2*TRUNC(_Neo_1700_OplHoev_9),TRUNC(_Neo_1700_OplHoev_9)),TRUNC(_Neo_1700_OplHoev_9*1.5)),"")</f>
        <v/>
      </c>
      <c r="O39" s="391" t="str">
        <f>IF(B37&lt;&gt;"",IF(D37&lt;&gt;"lidocaine",IF(_Neo_1700_OplHoev_9&lt;25,(2*_Neo_1700_OplHoev_9-N39)*100,(_Neo_1700_OplHoev_9-N39)*100),1.5*_Neo_1700_OplHoev_9-N39),"")</f>
        <v/>
      </c>
      <c r="P39" s="279"/>
      <c r="Q39" s="279"/>
      <c r="R39" s="279"/>
    </row>
    <row r="40" spans="1:18" ht="9.75" customHeight="1" x14ac:dyDescent="0.4">
      <c r="A40" s="371"/>
      <c r="D40" s="279"/>
      <c r="E40" s="279"/>
      <c r="F40" s="279"/>
      <c r="G40" s="279"/>
      <c r="H40" s="279"/>
      <c r="I40" s="279"/>
      <c r="J40" s="279"/>
      <c r="K40" s="279"/>
      <c r="L40" s="279"/>
      <c r="M40" s="279"/>
      <c r="N40" s="401"/>
      <c r="O40" s="416"/>
      <c r="P40" s="279"/>
      <c r="Q40" s="279"/>
      <c r="R40" s="279"/>
    </row>
    <row r="41" spans="1:18" ht="13.95" x14ac:dyDescent="0.4">
      <c r="A41" s="371">
        <v>10</v>
      </c>
      <c r="B41" s="310" t="str">
        <f>NeoPrtAfspr!B45</f>
        <v/>
      </c>
      <c r="C41" s="312"/>
      <c r="D41" s="417"/>
      <c r="E41" s="312"/>
      <c r="F41" s="312"/>
      <c r="G41" s="312"/>
      <c r="H41" s="416"/>
      <c r="I41" s="312"/>
      <c r="J41" s="312"/>
      <c r="K41" s="312"/>
      <c r="L41" s="312"/>
      <c r="M41" s="312"/>
      <c r="N41" s="416"/>
      <c r="O41" s="418"/>
      <c r="P41" s="279"/>
      <c r="Q41" s="279"/>
      <c r="R41" s="279"/>
    </row>
    <row r="42" spans="1:18" ht="13.95" x14ac:dyDescent="0.4">
      <c r="A42" s="371">
        <v>11</v>
      </c>
      <c r="B42" s="310" t="str">
        <f>NeoPrtAfspr!B46</f>
        <v/>
      </c>
      <c r="C42" s="312"/>
      <c r="D42" s="417"/>
      <c r="E42" s="312"/>
      <c r="F42" s="312"/>
      <c r="G42" s="312"/>
      <c r="H42" s="416"/>
      <c r="I42" s="312"/>
      <c r="J42" s="312"/>
      <c r="K42" s="312"/>
      <c r="L42" s="312"/>
      <c r="M42" s="312"/>
      <c r="N42" s="416"/>
      <c r="O42" s="418"/>
      <c r="P42" s="279"/>
      <c r="Q42" s="279"/>
      <c r="R42" s="279"/>
    </row>
    <row r="43" spans="1:18" ht="13.95" x14ac:dyDescent="0.4">
      <c r="A43" s="371">
        <v>12</v>
      </c>
      <c r="B43" s="310">
        <f>NeoPrtAfspr!B47</f>
        <v>0</v>
      </c>
      <c r="C43" s="312"/>
      <c r="D43" s="417"/>
      <c r="E43" s="312"/>
      <c r="F43" s="312"/>
      <c r="G43" s="312"/>
      <c r="H43" s="416"/>
      <c r="I43" s="312"/>
      <c r="J43" s="312"/>
      <c r="K43" s="312"/>
      <c r="L43" s="312"/>
      <c r="M43" s="312"/>
      <c r="N43" s="416"/>
      <c r="O43" s="418"/>
      <c r="P43" s="279"/>
      <c r="Q43" s="279"/>
      <c r="R43" s="279"/>
    </row>
    <row r="44" spans="1:18" x14ac:dyDescent="0.35">
      <c r="B44" s="279"/>
      <c r="C44" s="279"/>
      <c r="D44" s="285"/>
      <c r="E44" s="279"/>
      <c r="F44" s="279"/>
      <c r="G44" s="279"/>
      <c r="H44" s="401"/>
      <c r="I44" s="279"/>
      <c r="J44" s="279"/>
      <c r="K44" s="279"/>
      <c r="L44" s="279"/>
      <c r="M44" s="279"/>
      <c r="N44" s="401"/>
      <c r="O44" s="401"/>
      <c r="P44" s="279"/>
      <c r="Q44" s="279"/>
      <c r="R44" s="279"/>
    </row>
    <row r="45" spans="1:18" x14ac:dyDescent="0.35">
      <c r="B45" s="279"/>
      <c r="C45" s="279"/>
      <c r="D45" s="285"/>
      <c r="E45" s="279"/>
      <c r="F45" s="279"/>
      <c r="G45" s="279"/>
      <c r="H45" s="401"/>
      <c r="I45" s="279"/>
      <c r="J45" s="279"/>
      <c r="K45" s="279"/>
      <c r="L45" s="279"/>
      <c r="M45" s="279"/>
      <c r="N45" s="401"/>
      <c r="O45" s="401"/>
      <c r="P45" s="279"/>
      <c r="Q45" s="279"/>
      <c r="R45" s="279"/>
    </row>
    <row r="47" spans="1:18" s="320" customFormat="1" ht="9.75" customHeight="1" x14ac:dyDescent="0.35">
      <c r="A47" s="955">
        <f ca="1">TODAY()</f>
        <v>42736</v>
      </c>
      <c r="B47" s="955"/>
      <c r="C47" s="320" t="e">
        <f>"Bed "&amp;_Neo_InfB_Bed</f>
        <v>#NAME?</v>
      </c>
      <c r="E47" s="320">
        <v>1</v>
      </c>
      <c r="G47" s="955">
        <f ca="1">TODAY()</f>
        <v>42736</v>
      </c>
      <c r="H47" s="955"/>
      <c r="I47" s="320" t="e">
        <f>"Bed "&amp;_Neo_InfB_Bed</f>
        <v>#NAME?</v>
      </c>
      <c r="K47" s="320">
        <v>2</v>
      </c>
      <c r="M47" s="955">
        <f ca="1">TODAY()</f>
        <v>42736</v>
      </c>
      <c r="N47" s="956"/>
      <c r="O47" s="320" t="e">
        <f>"Bed "&amp;_Neo_InfB_Bed</f>
        <v>#NAME?</v>
      </c>
      <c r="Q47" s="320">
        <v>3</v>
      </c>
    </row>
    <row r="48" spans="1:18" ht="10" customHeight="1" x14ac:dyDescent="0.35">
      <c r="A48" s="419" t="str">
        <f>IF(D5&lt;&gt;"",__3_VoorNaam&amp;" "&amp;__2_AchterNaam,"")</f>
        <v/>
      </c>
      <c r="B48" s="320"/>
      <c r="C48" s="320"/>
      <c r="E48" s="320"/>
      <c r="F48" s="320"/>
      <c r="G48" s="419" t="str">
        <f>IF(D9&lt;&gt;"",__3_VoorNaam&amp;" "&amp;__2_AchterNaam,"")</f>
        <v/>
      </c>
      <c r="H48" s="320"/>
      <c r="I48" s="320"/>
      <c r="J48" s="320"/>
      <c r="K48" s="320"/>
      <c r="L48" s="320"/>
      <c r="M48" s="419" t="str">
        <f>IF(D13&lt;&gt;"",__3_VoorNaam&amp;" "&amp;__2_AchterNaam,"")</f>
        <v/>
      </c>
      <c r="N48" s="320"/>
      <c r="O48" s="320"/>
      <c r="P48" s="320"/>
      <c r="Q48" s="320"/>
    </row>
    <row r="49" spans="1:18" ht="10" customHeight="1" x14ac:dyDescent="0.35">
      <c r="A49" s="320" t="str">
        <f>IF(D5&lt;&gt;"",D5&amp;" "&amp;NeoPrtWerkbr!E26&amp;" "&amp;G5,"")</f>
        <v/>
      </c>
      <c r="B49" s="320"/>
      <c r="C49" s="320"/>
      <c r="E49" s="320"/>
      <c r="F49" s="320"/>
      <c r="G49" s="320" t="str">
        <f>IF(D9&lt;&gt;"",D9&amp;" "&amp;NeoPrtWerkbr!E29&amp;" "&amp;G9,"")</f>
        <v/>
      </c>
      <c r="H49" s="320"/>
      <c r="I49" s="320"/>
      <c r="K49" s="320"/>
      <c r="L49" s="320"/>
      <c r="M49" s="320" t="str">
        <f>IF(D13&lt;&gt;"",D13&amp;" "&amp;NeoPrtWerkbr!E32&amp;" "&amp;G13,"")</f>
        <v/>
      </c>
      <c r="N49" s="320"/>
      <c r="O49" s="320"/>
      <c r="Q49" s="320"/>
    </row>
    <row r="50" spans="1:18" ht="10" customHeight="1" x14ac:dyDescent="0.35">
      <c r="A50" s="420" t="str">
        <f>NeoPrtAfspr!G33&amp;" "&amp;K6</f>
        <v xml:space="preserve"> </v>
      </c>
      <c r="B50" s="420"/>
      <c r="C50" s="420"/>
      <c r="D50" s="320" t="str">
        <f>IF(_Neo_1700_OplHoev_1&gt;0,"("&amp;N7-_Neo_1700_OplHoev_1&amp;" ml extra)","")</f>
        <v/>
      </c>
      <c r="E50" s="420"/>
      <c r="F50" s="320"/>
      <c r="G50" s="320" t="str">
        <f>NeoPrtAfspr!G34&amp;" "&amp;K10</f>
        <v xml:space="preserve"> </v>
      </c>
      <c r="H50" s="320"/>
      <c r="I50" s="320"/>
      <c r="J50" s="320" t="str">
        <f>IF(_Neo_1700_OplHoev_2&gt;0,"("&amp;N11-_Neo_1700_OplHoev_2&amp;" ml extra)","")</f>
        <v/>
      </c>
      <c r="K50" s="320"/>
      <c r="L50" s="320"/>
      <c r="M50" s="320" t="str">
        <f>NeoPrtAfspr!G35&amp;" "&amp;K14</f>
        <v xml:space="preserve"> </v>
      </c>
      <c r="N50" s="320"/>
      <c r="O50" s="320"/>
      <c r="P50" s="320" t="str">
        <f>IF(_Neo_1700_OplHoev_3&gt;0,"("&amp;N15-_Neo_1700_OplHoev_3&amp;" ml extra)","")</f>
        <v/>
      </c>
      <c r="Q50" s="320"/>
    </row>
    <row r="51" spans="1:18" ht="10" customHeight="1" x14ac:dyDescent="0.35">
      <c r="A51" s="320" t="str">
        <f>IF(D6&lt;&gt;"",D6,"")</f>
        <v/>
      </c>
      <c r="B51" s="320"/>
      <c r="C51" s="320" t="str">
        <f>F6</f>
        <v/>
      </c>
      <c r="D51" s="320"/>
      <c r="E51" s="320"/>
      <c r="F51" s="320"/>
      <c r="G51" s="320" t="str">
        <f>IF(D10&lt;&gt;"",D10,"")</f>
        <v/>
      </c>
      <c r="H51" s="320"/>
      <c r="I51" s="320" t="str">
        <f>IF(F10&lt;&gt;"",F10,"")</f>
        <v/>
      </c>
      <c r="J51" s="320"/>
      <c r="K51" s="320"/>
      <c r="L51" s="320"/>
      <c r="M51" s="320" t="str">
        <f>IF(D14&lt;&gt;"",$D$14,"")</f>
        <v/>
      </c>
      <c r="N51" s="320"/>
      <c r="O51" s="320" t="str">
        <f>IF(F14&lt;&gt;"",$F$14,"")</f>
        <v/>
      </c>
      <c r="P51" s="320"/>
      <c r="Q51" s="320"/>
    </row>
    <row r="52" spans="1:18" ht="10" customHeight="1" x14ac:dyDescent="0.35">
      <c r="A52" s="320"/>
      <c r="B52" s="320"/>
      <c r="D52" s="320" t="str">
        <f>"Exp: "</f>
        <v xml:space="preserve">Exp: </v>
      </c>
      <c r="E52" s="955">
        <f ca="1">TODAY()+1</f>
        <v>42737</v>
      </c>
      <c r="F52" s="955"/>
      <c r="G52" s="320"/>
      <c r="H52" s="320"/>
      <c r="I52" s="320"/>
      <c r="J52" s="320" t="str">
        <f>"Exp: "</f>
        <v xml:space="preserve">Exp: </v>
      </c>
      <c r="K52" s="955">
        <f ca="1">TODAY()+1</f>
        <v>42737</v>
      </c>
      <c r="L52" s="955"/>
      <c r="M52" s="320"/>
      <c r="N52" s="320"/>
      <c r="O52" s="320"/>
      <c r="P52" s="320" t="str">
        <f>"Exp: "</f>
        <v xml:space="preserve">Exp: </v>
      </c>
      <c r="Q52" s="955">
        <f ca="1">TODAY()+1</f>
        <v>42737</v>
      </c>
      <c r="R52" s="955"/>
    </row>
    <row r="53" spans="1:18" ht="10" customHeight="1" x14ac:dyDescent="0.35"/>
    <row r="54" spans="1:18" ht="10" customHeight="1" x14ac:dyDescent="0.35">
      <c r="A54" s="320"/>
      <c r="B54" s="320"/>
      <c r="C54" s="320"/>
      <c r="D54" s="320"/>
      <c r="E54" s="320"/>
      <c r="F54" s="320"/>
      <c r="G54" s="320"/>
      <c r="H54" s="320"/>
      <c r="I54" s="320"/>
      <c r="J54" s="320"/>
      <c r="K54" s="320"/>
      <c r="L54" s="320"/>
      <c r="M54" s="320"/>
      <c r="N54" s="320"/>
      <c r="O54" s="320"/>
      <c r="P54" s="320"/>
      <c r="Q54" s="320"/>
    </row>
    <row r="55" spans="1:18" ht="10" customHeight="1" x14ac:dyDescent="0.35">
      <c r="A55" s="320"/>
      <c r="B55" s="320"/>
      <c r="C55" s="320"/>
      <c r="D55" s="320"/>
      <c r="E55" s="320"/>
      <c r="F55" s="320"/>
      <c r="G55" s="320"/>
      <c r="H55" s="320"/>
      <c r="I55" s="320"/>
      <c r="J55" s="320"/>
      <c r="K55" s="320"/>
      <c r="L55" s="320"/>
      <c r="M55" s="320"/>
      <c r="N55" s="320"/>
      <c r="O55" s="320"/>
      <c r="P55" s="320"/>
      <c r="Q55" s="320"/>
    </row>
    <row r="56" spans="1:18" ht="10" customHeight="1" x14ac:dyDescent="0.35">
      <c r="A56" s="320"/>
      <c r="B56" s="320"/>
      <c r="C56" s="320"/>
      <c r="D56" s="320"/>
      <c r="E56" s="320"/>
      <c r="F56" s="320"/>
      <c r="G56" s="320"/>
      <c r="H56" s="320"/>
      <c r="I56" s="320"/>
      <c r="J56" s="320"/>
      <c r="K56" s="320"/>
      <c r="L56" s="320"/>
      <c r="M56" s="320"/>
      <c r="N56" s="320"/>
      <c r="O56" s="320"/>
      <c r="P56" s="320"/>
      <c r="Q56" s="320"/>
    </row>
    <row r="57" spans="1:18" ht="15.75" customHeight="1" x14ac:dyDescent="0.35">
      <c r="A57" s="320"/>
      <c r="B57" s="320"/>
      <c r="C57" s="320"/>
      <c r="D57" s="320"/>
      <c r="E57" s="320"/>
      <c r="F57" s="320"/>
      <c r="G57" s="320"/>
      <c r="H57" s="320"/>
      <c r="I57" s="320"/>
      <c r="J57" s="320"/>
      <c r="K57" s="320"/>
      <c r="L57" s="320"/>
      <c r="M57" s="320"/>
      <c r="N57" s="320"/>
      <c r="O57" s="320"/>
      <c r="P57" s="320"/>
      <c r="Q57" s="320"/>
    </row>
    <row r="58" spans="1:18" ht="9.75" customHeight="1" x14ac:dyDescent="0.35">
      <c r="A58" s="955">
        <f ca="1">TODAY()</f>
        <v>42736</v>
      </c>
      <c r="B58" s="956"/>
      <c r="C58" s="320" t="e">
        <f>"Bed "&amp;_Neo_InfB_Bed</f>
        <v>#NAME?</v>
      </c>
      <c r="D58" s="320"/>
      <c r="E58" s="320">
        <v>4</v>
      </c>
      <c r="F58" s="320"/>
      <c r="G58" s="955">
        <f ca="1">TODAY()</f>
        <v>42736</v>
      </c>
      <c r="H58" s="956"/>
      <c r="I58" s="320" t="e">
        <f>"Bed "&amp;_Neo_InfB_Bed</f>
        <v>#NAME?</v>
      </c>
      <c r="J58" s="320"/>
      <c r="K58" s="320">
        <v>5</v>
      </c>
      <c r="L58" s="320"/>
      <c r="M58" s="955">
        <f ca="1">TODAY()</f>
        <v>42736</v>
      </c>
      <c r="N58" s="956"/>
      <c r="O58" s="320" t="e">
        <f>"Bed "&amp;_Neo_InfB_Bed</f>
        <v>#NAME?</v>
      </c>
      <c r="P58" s="320"/>
      <c r="Q58" s="320">
        <v>6</v>
      </c>
    </row>
    <row r="59" spans="1:18" ht="10" customHeight="1" x14ac:dyDescent="0.35">
      <c r="A59" s="419" t="str">
        <f>IF(D17&lt;&gt;"",__3_VoorNaam&amp;" "&amp;__2_AchterNaam,"")</f>
        <v/>
      </c>
      <c r="B59" s="320"/>
      <c r="C59" s="320"/>
      <c r="D59" s="320"/>
      <c r="E59" s="320"/>
      <c r="F59" s="320"/>
      <c r="G59" s="419" t="str">
        <f>IF(D21&lt;&gt;"",__3_VoorNaam&amp;" "&amp;__2_AchterNaam,"")</f>
        <v/>
      </c>
      <c r="H59" s="320"/>
      <c r="I59" s="320"/>
      <c r="J59" s="320"/>
      <c r="K59" s="320"/>
      <c r="L59" s="320"/>
      <c r="M59" s="419" t="str">
        <f>IF(D25&lt;&gt;"",__3_VoorNaam&amp;" "&amp;__2_AchterNaam,"")</f>
        <v/>
      </c>
      <c r="N59" s="320"/>
      <c r="O59" s="320"/>
      <c r="P59" s="320"/>
      <c r="Q59" s="320"/>
    </row>
    <row r="60" spans="1:18" ht="10" customHeight="1" x14ac:dyDescent="0.35">
      <c r="A60" s="320" t="str">
        <f>IF(D17&lt;&gt;"",D17&amp;" "&amp;NeoPrtWerkbr!E35&amp;" "&amp;G17,"")</f>
        <v/>
      </c>
      <c r="B60" s="320"/>
      <c r="C60" s="320"/>
      <c r="E60" s="320"/>
      <c r="F60" s="320"/>
      <c r="G60" s="320" t="str">
        <f>IF(D21&lt;&gt;"",D21&amp;" "&amp;NeoPrtWerkbr!E38&amp;" "&amp;G21,"")</f>
        <v/>
      </c>
      <c r="H60" s="320"/>
      <c r="I60" s="320"/>
      <c r="K60" s="320"/>
      <c r="L60" s="320"/>
      <c r="M60" s="320" t="str">
        <f>IF(D25&lt;&gt;"",D25&amp;" "&amp;NeoPrtWerkbr!E41&amp;" "&amp;G25,"")</f>
        <v/>
      </c>
      <c r="N60" s="320"/>
      <c r="O60" s="320"/>
      <c r="Q60" s="320"/>
    </row>
    <row r="61" spans="1:18" ht="10" customHeight="1" x14ac:dyDescent="0.35">
      <c r="A61" s="320" t="str">
        <f>NeoPrtAfspr!G36&amp;" "&amp;K18</f>
        <v xml:space="preserve"> </v>
      </c>
      <c r="B61" s="320"/>
      <c r="C61" s="320"/>
      <c r="D61" s="320" t="str">
        <f>IF(_Neo_1700_OplHoev_4&gt;0,"("&amp;N19-_Neo_1700_OplHoev_4&amp;" ml extra)","")</f>
        <v/>
      </c>
      <c r="E61" s="320"/>
      <c r="F61" s="320"/>
      <c r="G61" s="320" t="str">
        <f>NeoPrtAfspr!G37&amp;" "&amp;K22</f>
        <v xml:space="preserve"> </v>
      </c>
      <c r="H61" s="320"/>
      <c r="I61" s="320"/>
      <c r="J61" s="320" t="str">
        <f>IF(_Neo_1700_OplHoev_5&gt;0,"("&amp;N23-_Neo_1700_OplHoev_5&amp;" ml extra)","")</f>
        <v/>
      </c>
      <c r="K61" s="320"/>
      <c r="L61" s="320"/>
      <c r="M61" s="320" t="str">
        <f>NeoPrtAfspr!G38&amp;" "&amp;K26</f>
        <v xml:space="preserve"> </v>
      </c>
      <c r="N61" s="320"/>
      <c r="O61" s="320"/>
      <c r="P61" s="320" t="str">
        <f>IF(_Neo_1700_OplHoev_6&gt;0,"("&amp;N27-_Neo_1700_OplHoev_6&amp;" ml extra)","")</f>
        <v/>
      </c>
      <c r="Q61" s="320"/>
    </row>
    <row r="62" spans="1:18" ht="10" customHeight="1" x14ac:dyDescent="0.35">
      <c r="A62" s="320" t="str">
        <f>IF(D18&lt;&gt;"",D18,"")</f>
        <v/>
      </c>
      <c r="B62" s="320"/>
      <c r="C62" s="320" t="str">
        <f>F18</f>
        <v/>
      </c>
      <c r="D62" s="320"/>
      <c r="E62" s="320"/>
      <c r="F62" s="320"/>
      <c r="G62" s="320" t="str">
        <f>IF(D22&lt;&gt;"",D22,"")</f>
        <v/>
      </c>
      <c r="H62" s="320"/>
      <c r="I62" s="320" t="str">
        <f>IF(F22&lt;&gt;"",F22,"")</f>
        <v/>
      </c>
      <c r="J62" s="320"/>
      <c r="K62" s="320"/>
      <c r="L62" s="320"/>
      <c r="M62" s="320" t="str">
        <f>IF(D26&lt;&gt;"",$D$26,"")</f>
        <v/>
      </c>
      <c r="N62" s="320"/>
      <c r="O62" s="320" t="str">
        <f>IF(F26&lt;&gt;"",$F$26,"")</f>
        <v/>
      </c>
      <c r="P62" s="320"/>
      <c r="Q62" s="320"/>
    </row>
    <row r="63" spans="1:18" ht="10" customHeight="1" x14ac:dyDescent="0.35">
      <c r="A63" s="320"/>
      <c r="B63" s="320"/>
      <c r="C63" s="320"/>
      <c r="D63" s="320" t="str">
        <f>"Exp: "</f>
        <v xml:space="preserve">Exp: </v>
      </c>
      <c r="E63" s="955">
        <f ca="1">TODAY()+1</f>
        <v>42737</v>
      </c>
      <c r="F63" s="955"/>
      <c r="G63" s="320"/>
      <c r="H63" s="320"/>
      <c r="I63" s="320"/>
      <c r="J63" s="320" t="str">
        <f>"Exp: "</f>
        <v xml:space="preserve">Exp: </v>
      </c>
      <c r="K63" s="955">
        <f ca="1">TODAY()+1</f>
        <v>42737</v>
      </c>
      <c r="L63" s="955"/>
      <c r="M63" s="320"/>
      <c r="N63" s="320"/>
      <c r="O63" s="320"/>
      <c r="P63" s="320" t="str">
        <f>"Exp: "</f>
        <v xml:space="preserve">Exp: </v>
      </c>
      <c r="Q63" s="955">
        <f ca="1">TODAY()+1</f>
        <v>42737</v>
      </c>
      <c r="R63" s="955"/>
    </row>
    <row r="64" spans="1:18" ht="10" customHeight="1" x14ac:dyDescent="0.35"/>
    <row r="65" spans="4:4" ht="10" customHeight="1" x14ac:dyDescent="0.35"/>
    <row r="66" spans="4:4" ht="10" customHeight="1" x14ac:dyDescent="0.35"/>
    <row r="67" spans="4:4" ht="10" customHeight="1" x14ac:dyDescent="0.35"/>
    <row r="68" spans="4:4" ht="10" customHeight="1" x14ac:dyDescent="0.35"/>
    <row r="73" spans="4:4" x14ac:dyDescent="0.35">
      <c r="D73" s="816"/>
    </row>
  </sheetData>
  <mergeCells count="14"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  <mergeCell ref="J1:L1"/>
    <mergeCell ref="N2:O2"/>
    <mergeCell ref="A47:B47"/>
    <mergeCell ref="G47:H47"/>
    <mergeCell ref="M47:N47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Range Nam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</vt:i4>
      </vt:variant>
      <vt:variant>
        <vt:lpstr>Named Ranges</vt:lpstr>
      </vt:variant>
      <vt:variant>
        <vt:i4>1797</vt:i4>
      </vt:variant>
    </vt:vector>
  </HeadingPairs>
  <TitlesOfParts>
    <vt:vector size="1859" baseType="lpstr">
      <vt:lpstr>Global--&gt;</vt:lpstr>
      <vt:lpstr>GlobSettings</vt:lpstr>
      <vt:lpstr>GlobNames</vt:lpstr>
      <vt:lpstr>GlobBerOpm</vt:lpstr>
      <vt:lpstr>GlobBerConv</vt:lpstr>
      <vt:lpstr>GlobBerNorm</vt:lpstr>
      <vt:lpstr>GlobTemp</vt:lpstr>
      <vt:lpstr>Patient--&gt;</vt:lpstr>
      <vt:lpstr>PatDataText</vt:lpstr>
      <vt:lpstr>PatData</vt:lpstr>
      <vt:lpstr>PatDetails</vt:lpstr>
      <vt:lpstr>PedGuiMedIV</vt:lpstr>
      <vt:lpstr>Pediatrie--&gt;</vt:lpstr>
      <vt:lpstr>PedBerMedIV</vt:lpstr>
      <vt:lpstr>PedTblMedIV</vt:lpstr>
      <vt:lpstr>PedGuiMedDisc</vt:lpstr>
      <vt:lpstr>PedBerMedDisc</vt:lpstr>
      <vt:lpstr>PedTblMedDisc</vt:lpstr>
      <vt:lpstr>PedGuiPMenIV</vt:lpstr>
      <vt:lpstr>PedBerIVenPM</vt:lpstr>
      <vt:lpstr>PedTblIV</vt:lpstr>
      <vt:lpstr>PedGuiEntTPN</vt:lpstr>
      <vt:lpstr>PedBerEnt</vt:lpstr>
      <vt:lpstr>PedBerTot</vt:lpstr>
      <vt:lpstr>PedTblVoed</vt:lpstr>
      <vt:lpstr>PedGuiLab</vt:lpstr>
      <vt:lpstr>PedBerLab</vt:lpstr>
      <vt:lpstr>PedGuiAfsprExtra</vt:lpstr>
      <vt:lpstr>PedBerExtraAfspr</vt:lpstr>
      <vt:lpstr>PedTblAfsprExtra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PedBerTPN</vt:lpstr>
      <vt:lpstr>Neo--&gt;</vt:lpstr>
      <vt:lpstr>NeoGuiAfspraken</vt:lpstr>
      <vt:lpstr>NeoBerIV</vt:lpstr>
      <vt:lpstr>NeoPrtWerkbrAct</vt:lpstr>
      <vt:lpstr>NeoAfspr1700</vt:lpstr>
      <vt:lpstr>NeoBer1700</vt:lpstr>
      <vt:lpstr>NeoPrtWerkbr</vt:lpstr>
      <vt:lpstr>NeoTblMedIV</vt:lpstr>
      <vt:lpstr>NeoBerAdvies</vt:lpstr>
      <vt:lpstr>NeoTblLijst</vt:lpstr>
      <vt:lpstr>NeoTblVoed</vt:lpstr>
      <vt:lpstr>NeoPrtMedDisc</vt:lpstr>
      <vt:lpstr>NeoTblTijden</vt:lpstr>
      <vt:lpstr>NeoGuiAfsprExtra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_Glob_MedDisc_Keuze_01</vt:lpstr>
      <vt:lpstr>_Glob_MedDisc_Keuze_02</vt:lpstr>
      <vt:lpstr>_Glob_MedDisc_Keuze_03</vt:lpstr>
      <vt:lpstr>_Glob_MedDisc_Keuze_04</vt:lpstr>
      <vt:lpstr>_Glob_MedDisc_Keuze_05</vt:lpstr>
      <vt:lpstr>_Glob_MedDisc_Keuze_06</vt:lpstr>
      <vt:lpstr>_Glob_MedDisc_Keuze_07</vt:lpstr>
      <vt:lpstr>_Glob_MedDisc_Keuze_08</vt:lpstr>
      <vt:lpstr>_Glob_MedDisc_Keuze_09</vt:lpstr>
      <vt:lpstr>_Glob_MedDisc_Keuze_10</vt:lpstr>
      <vt:lpstr>_Glob_MedDisc_Keuze_11</vt:lpstr>
      <vt:lpstr>_Glob_MedDisc_Keuze_12</vt:lpstr>
      <vt:lpstr>_Glob_MedDisc_Keuze_13</vt:lpstr>
      <vt:lpstr>_Glob_MedDisc_Keuze_14</vt:lpstr>
      <vt:lpstr>_Glob_MedDisc_Keuze_15</vt:lpstr>
      <vt:lpstr>_Glob_MedDisc_Keuze_16</vt:lpstr>
      <vt:lpstr>_Glob_MedDisc_Keuze_17</vt:lpstr>
      <vt:lpstr>_Glob_MedDisc_Keuze_18</vt:lpstr>
      <vt:lpstr>_Glob_MedDisc_Keuze_19</vt:lpstr>
      <vt:lpstr>_Glob_MedDisc_Keuze_20</vt:lpstr>
      <vt:lpstr>_Glob_MedDisc_Keuze_21</vt:lpstr>
      <vt:lpstr>_Glob_MedDisc_Keuze_22</vt:lpstr>
      <vt:lpstr>_Glob_MedDisc_Keuze_23</vt:lpstr>
      <vt:lpstr>_Glob_MedDisc_Keuze_24</vt:lpstr>
      <vt:lpstr>_Glob_MedDisc_Keuze_25</vt:lpstr>
      <vt:lpstr>_Glob_MedDisc_Keuze_26</vt:lpstr>
      <vt:lpstr>_Glob_MedDisc_Keuze_27</vt:lpstr>
      <vt:lpstr>_Glob_MedDisc_Keuze_28</vt:lpstr>
      <vt:lpstr>_Glob_MedDisc_Keuze_29</vt:lpstr>
      <vt:lpstr>_Glob_MedDisc_Keuze_30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_Neo_1700_ArtLijn</vt:lpstr>
      <vt:lpstr>_Neo_1700_Arts</vt:lpstr>
      <vt:lpstr>_Neo_1700_CaCl2</vt:lpstr>
      <vt:lpstr>_Neo_1700_DagKeuze</vt:lpstr>
      <vt:lpstr>_Neo_1700_Fototherapie</vt:lpstr>
      <vt:lpstr>_Neo_1700_Frequentie_1</vt:lpstr>
      <vt:lpstr>_Neo_1700_Frequentie_2</vt:lpstr>
      <vt:lpstr>_Neo_1700_GlucSterkte</vt:lpstr>
      <vt:lpstr>_Neo_1700_Hoeveelheid_1</vt:lpstr>
      <vt:lpstr>_Neo_1700_Hoeveelheid_2</vt:lpstr>
      <vt:lpstr>_Neo_1700_IntakePerKg</vt:lpstr>
      <vt:lpstr>_Neo_1700_IntraLipid</vt:lpstr>
      <vt:lpstr>_Neo_1700_IntralipidSmof</vt:lpstr>
      <vt:lpstr>_Neo_1700_KCl</vt:lpstr>
      <vt:lpstr>_Neo_1700_Medicament_1</vt:lpstr>
      <vt:lpstr>_Neo_1700_Medicament_2</vt:lpstr>
      <vt:lpstr>_Neo_1700_Medicament_3</vt:lpstr>
      <vt:lpstr>_Neo_1700_Medicament_4</vt:lpstr>
      <vt:lpstr>_Neo_1700_Medicament_5</vt:lpstr>
      <vt:lpstr>_Neo_1700_Medicament_6</vt:lpstr>
      <vt:lpstr>_Neo_1700_Medicament_7</vt:lpstr>
      <vt:lpstr>_Neo_1700_Medicament_8</vt:lpstr>
      <vt:lpstr>_Neo_1700_Medicament_9</vt:lpstr>
      <vt:lpstr>_Neo_1700_MedSterkte_1</vt:lpstr>
      <vt:lpstr>_Neo_1700_MedSterkte_2</vt:lpstr>
      <vt:lpstr>_Neo_1700_MedSterkte_3</vt:lpstr>
      <vt:lpstr>_Neo_1700_MedSterkte_4</vt:lpstr>
      <vt:lpstr>_Neo_1700_MedSterkte_5</vt:lpstr>
      <vt:lpstr>_Neo_1700_MedSterkte_6</vt:lpstr>
      <vt:lpstr>_Neo_1700_MedSterkte_7</vt:lpstr>
      <vt:lpstr>_Neo_1700_MedSterkte_8</vt:lpstr>
      <vt:lpstr>_Neo_1700_MedSterkte_9</vt:lpstr>
      <vt:lpstr>_Neo_1700_MedTekst_1</vt:lpstr>
      <vt:lpstr>_Neo_1700_MedTekst_2</vt:lpstr>
      <vt:lpstr>_Neo_1700_MgCl2</vt:lpstr>
      <vt:lpstr>_Neo_1700_NaCl</vt:lpstr>
      <vt:lpstr>_Neo_1700_NICUMix</vt:lpstr>
      <vt:lpstr>_Neo_1700_OplHoev_1</vt:lpstr>
      <vt:lpstr>_Neo_1700_OplHoev_2</vt:lpstr>
      <vt:lpstr>_Neo_1700_OplHoev_3</vt:lpstr>
      <vt:lpstr>_Neo_1700_OplHoev_4</vt:lpstr>
      <vt:lpstr>_Neo_1700_OplHoev_5</vt:lpstr>
      <vt:lpstr>_Neo_1700_OplHoev_6</vt:lpstr>
      <vt:lpstr>_Neo_1700_OplHoev_7</vt:lpstr>
      <vt:lpstr>_Neo_1700_OplHoev_8</vt:lpstr>
      <vt:lpstr>_Neo_1700_OplHoev_9</vt:lpstr>
      <vt:lpstr>_Neo_1700_Oplossing_01</vt:lpstr>
      <vt:lpstr>_Neo_1700_Oplossing_02</vt:lpstr>
      <vt:lpstr>_Neo_1700_Oplossing_03</vt:lpstr>
      <vt:lpstr>_Neo_1700_Oplossing_04</vt:lpstr>
      <vt:lpstr>_Neo_1700_Oplossing_05</vt:lpstr>
      <vt:lpstr>_Neo_1700_Oplossing_06</vt:lpstr>
      <vt:lpstr>_Neo_1700_Oplossing_07</vt:lpstr>
      <vt:lpstr>_Neo_1700_Oplossing_08</vt:lpstr>
      <vt:lpstr>_Neo_1700_Oplossing_09</vt:lpstr>
      <vt:lpstr>_Neo_1700_Oplossing_10</vt:lpstr>
      <vt:lpstr>_Neo_1700_Oplossing_11</vt:lpstr>
      <vt:lpstr>_Neo_1700_Oplossing_12</vt:lpstr>
      <vt:lpstr>_Neo_1700_Parenteraal</vt:lpstr>
      <vt:lpstr>_Neo_1700_PercentageKeuze_0</vt:lpstr>
      <vt:lpstr>_Neo_1700_PercentageKeuze_1</vt:lpstr>
      <vt:lpstr>_Neo_1700_PercentageKeuze_2</vt:lpstr>
      <vt:lpstr>_Neo_1700_PercentageKeuze_3</vt:lpstr>
      <vt:lpstr>_Neo_1700_PercentageKeuze_4</vt:lpstr>
      <vt:lpstr>_Neo_1700_PercentageKeuze_5</vt:lpstr>
      <vt:lpstr>_Neo_1700_PercentageKeuze_6</vt:lpstr>
      <vt:lpstr>_Neo_1700_PercentageKeuze_7</vt:lpstr>
      <vt:lpstr>_Neo_1700_PercentageKeuze_8</vt:lpstr>
      <vt:lpstr>_Neo_1700_Primene</vt:lpstr>
      <vt:lpstr>_Neo_1700_SoluVit</vt:lpstr>
      <vt:lpstr>_Neo_1700_SSTB</vt:lpstr>
      <vt:lpstr>_Neo_1700_Stand_01</vt:lpstr>
      <vt:lpstr>_Neo_1700_Stand_02</vt:lpstr>
      <vt:lpstr>_Neo_1700_Stand_03</vt:lpstr>
      <vt:lpstr>_Neo_1700_Stand_04</vt:lpstr>
      <vt:lpstr>_Neo_1700_Stand_05</vt:lpstr>
      <vt:lpstr>_Neo_1700_Stand_06</vt:lpstr>
      <vt:lpstr>_Neo_1700_Stand_07</vt:lpstr>
      <vt:lpstr>_Neo_1700_Stand_08</vt:lpstr>
      <vt:lpstr>_Neo_1700_Stand_09</vt:lpstr>
      <vt:lpstr>_Neo_1700_Stand_10</vt:lpstr>
      <vt:lpstr>_Neo_1700_Stand_11</vt:lpstr>
      <vt:lpstr>_Neo_1700_Stand_12</vt:lpstr>
      <vt:lpstr>_Neo_1700_Supervisor</vt:lpstr>
      <vt:lpstr>_Neo_1700_Toevoeging_0</vt:lpstr>
      <vt:lpstr>_Neo_1700_Toevoeging_1</vt:lpstr>
      <vt:lpstr>_Neo_1700_Toevoeging_2</vt:lpstr>
      <vt:lpstr>_Neo_1700_Toevoeging_3</vt:lpstr>
      <vt:lpstr>_Neo_1700_Toevoeging_4</vt:lpstr>
      <vt:lpstr>_Neo_1700_Toevoeging_5</vt:lpstr>
      <vt:lpstr>_Neo_1700_Toevoeging_6</vt:lpstr>
      <vt:lpstr>_Neo_1700_Toevoeging_7</vt:lpstr>
      <vt:lpstr>_Neo_1700_Toevoeging_8</vt:lpstr>
      <vt:lpstr>_Neo_1700_VochtExtra_01</vt:lpstr>
      <vt:lpstr>_Neo_1700_VochtExtra_02</vt:lpstr>
      <vt:lpstr>_Neo_1700_VochtExtra_03</vt:lpstr>
      <vt:lpstr>_Neo_1700_VochtExtra_04</vt:lpstr>
      <vt:lpstr>_Neo_1700_VochtExtra_05</vt:lpstr>
      <vt:lpstr>_Neo_1700_VochtExtra_06</vt:lpstr>
      <vt:lpstr>_Neo_1700_VochtExtra_07</vt:lpstr>
      <vt:lpstr>_Neo_1700_VochtExtra_08</vt:lpstr>
      <vt:lpstr>_Neo_1700_VochtExtra_09</vt:lpstr>
      <vt:lpstr>_Neo_1700_VochtExtra_10</vt:lpstr>
      <vt:lpstr>_Neo_1700_VochtExtra_11</vt:lpstr>
      <vt:lpstr>_Neo_1700_VochtExtra_12</vt:lpstr>
      <vt:lpstr>_Neo_1700_VochtExtra_13</vt:lpstr>
      <vt:lpstr>_Neo_1700_VochtExtra_14</vt:lpstr>
      <vt:lpstr>_Neo_1700_Voeding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_Neo_InfB_ArtLijn</vt:lpstr>
      <vt:lpstr>_Neo_InfB_Arts</vt:lpstr>
      <vt:lpstr>_Neo_InfB_DagKeuze</vt:lpstr>
      <vt:lpstr>_Neo_InfB_Fototherapie</vt:lpstr>
      <vt:lpstr>_Neo_InfB_Frequentie_1</vt:lpstr>
      <vt:lpstr>_Neo_InfB_Frequentie_2</vt:lpstr>
      <vt:lpstr>_Neo_InfB_GlucSterkte</vt:lpstr>
      <vt:lpstr>_Neo_InfB_Hoeveelheid_1</vt:lpstr>
      <vt:lpstr>_Neo_InfB_Hoeveelheid_2</vt:lpstr>
      <vt:lpstr>_Neo_InfB_IntakePerKg</vt:lpstr>
      <vt:lpstr>_Neo_InfB_IntraLipid</vt:lpstr>
      <vt:lpstr>_Neo_InfB_IntralipidSmof</vt:lpstr>
      <vt:lpstr>_Neo_InfB_KCl</vt:lpstr>
      <vt:lpstr>_Neo_InfB_Medicament_1</vt:lpstr>
      <vt:lpstr>_Neo_InfB_Medicament_2</vt:lpstr>
      <vt:lpstr>_Neo_InfB_Medicament_3</vt:lpstr>
      <vt:lpstr>_Neo_InfB_Medicament_4</vt:lpstr>
      <vt:lpstr>_Neo_InfB_Medicament_5</vt:lpstr>
      <vt:lpstr>_Neo_InfB_Medicament_6</vt:lpstr>
      <vt:lpstr>_Neo_InfB_Medicament_7</vt:lpstr>
      <vt:lpstr>_Neo_InfB_Medicament_8</vt:lpstr>
      <vt:lpstr>_Neo_InfB_Medicament_9</vt:lpstr>
      <vt:lpstr>_Neo_InfB_MedSterkte_1</vt:lpstr>
      <vt:lpstr>_Neo_InfB_MedSterkte_2</vt:lpstr>
      <vt:lpstr>_Neo_InfB_MedSterkte_3</vt:lpstr>
      <vt:lpstr>_Neo_InfB_MedSterkte_4</vt:lpstr>
      <vt:lpstr>_Neo_InfB_MedSterkte_5</vt:lpstr>
      <vt:lpstr>_Neo_InfB_MedSterkte_6</vt:lpstr>
      <vt:lpstr>_Neo_InfB_MedSterkte_7</vt:lpstr>
      <vt:lpstr>_Neo_InfB_MedSterkte_8</vt:lpstr>
      <vt:lpstr>_Neo_InfB_MedSterkte_9</vt:lpstr>
      <vt:lpstr>_Neo_InfB_MedTekst_1</vt:lpstr>
      <vt:lpstr>_Neo_InfB_MedTekst_2</vt:lpstr>
      <vt:lpstr>_Neo_InfB_MgCl2</vt:lpstr>
      <vt:lpstr>_Neo_InfB_NICUMix</vt:lpstr>
      <vt:lpstr>_Neo_InfB_OplHoev_1</vt:lpstr>
      <vt:lpstr>_Neo_InfB_OplHoev_2</vt:lpstr>
      <vt:lpstr>_Neo_InfB_OplHoev_3</vt:lpstr>
      <vt:lpstr>_Neo_InfB_OplHoev_4</vt:lpstr>
      <vt:lpstr>_Neo_InfB_OplHoev_5</vt:lpstr>
      <vt:lpstr>_Neo_InfB_OplHoev_6</vt:lpstr>
      <vt:lpstr>_Neo_InfB_OplHoev_7</vt:lpstr>
      <vt:lpstr>_Neo_InfB_OplHoev_8</vt:lpstr>
      <vt:lpstr>_Neo_InfB_OplHoev_9</vt:lpstr>
      <vt:lpstr>_Neo_InfB_Oplossing_01</vt:lpstr>
      <vt:lpstr>_Neo_InfB_Oplossing_02</vt:lpstr>
      <vt:lpstr>_Neo_InfB_Oplossing_03</vt:lpstr>
      <vt:lpstr>_Neo_InfB_Oplossing_04</vt:lpstr>
      <vt:lpstr>_Neo_InfB_Oplossing_05</vt:lpstr>
      <vt:lpstr>_Neo_InfB_Oplossing_06</vt:lpstr>
      <vt:lpstr>_Neo_InfB_Oplossing_07</vt:lpstr>
      <vt:lpstr>_Neo_InfB_Oplossing_08</vt:lpstr>
      <vt:lpstr>_Neo_InfB_Oplossing_09</vt:lpstr>
      <vt:lpstr>_Neo_InfB_Oplossing_10</vt:lpstr>
      <vt:lpstr>_Neo_InfB_Oplossing_11</vt:lpstr>
      <vt:lpstr>_Neo_InfB_Oplossing_12</vt:lpstr>
      <vt:lpstr>_Neo_InfB_Parenteraal</vt:lpstr>
      <vt:lpstr>_Neo_InfB_PercentageKeuze_0</vt:lpstr>
      <vt:lpstr>_Neo_InfB_PercentageKeuze_1</vt:lpstr>
      <vt:lpstr>_Neo_InfB_PercentageKeuze_2</vt:lpstr>
      <vt:lpstr>_Neo_InfB_PercentageKeuze_3</vt:lpstr>
      <vt:lpstr>_Neo_InfB_PercentageKeuze_4</vt:lpstr>
      <vt:lpstr>_Neo_InfB_PercentageKeuze_5</vt:lpstr>
      <vt:lpstr>_Neo_InfB_PercentageKeuze_6</vt:lpstr>
      <vt:lpstr>_Neo_InfB_PercentageKeuze_7</vt:lpstr>
      <vt:lpstr>_Neo_InfB_PercentageKeuze_8</vt:lpstr>
      <vt:lpstr>_Neo_InfB_Primene</vt:lpstr>
      <vt:lpstr>_Neo_InfB_SoluVit</vt:lpstr>
      <vt:lpstr>_Neo_InfB_SSTB</vt:lpstr>
      <vt:lpstr>_Neo_InfB_Stand_01</vt:lpstr>
      <vt:lpstr>_Neo_InfB_Stand_02</vt:lpstr>
      <vt:lpstr>_Neo_InfB_Stand_03</vt:lpstr>
      <vt:lpstr>_Neo_InfB_Stand_04</vt:lpstr>
      <vt:lpstr>_Neo_InfB_Stand_05</vt:lpstr>
      <vt:lpstr>_Neo_InfB_Stand_06</vt:lpstr>
      <vt:lpstr>_Neo_InfB_Stand_07</vt:lpstr>
      <vt:lpstr>_Neo_InfB_Stand_08</vt:lpstr>
      <vt:lpstr>_Neo_InfB_Stand_09</vt:lpstr>
      <vt:lpstr>_Neo_InfB_Stand_10</vt:lpstr>
      <vt:lpstr>_Neo_InfB_Stand_11</vt:lpstr>
      <vt:lpstr>_Neo_InfB_Stand_12</vt:lpstr>
      <vt:lpstr>_Neo_InfB_Sterkte_1</vt:lpstr>
      <vt:lpstr>_Neo_InfB_Sterkte_2</vt:lpstr>
      <vt:lpstr>_Neo_InfB_Sterkte_3</vt:lpstr>
      <vt:lpstr>_Neo_InfB_Sterkte_4</vt:lpstr>
      <vt:lpstr>_Neo_InfB_Sterkte_5</vt:lpstr>
      <vt:lpstr>_Neo_InfB_Sterkte_6</vt:lpstr>
      <vt:lpstr>_Neo_InfB_Sterkte_7</vt:lpstr>
      <vt:lpstr>_Neo_InfB_Sterkte_8</vt:lpstr>
      <vt:lpstr>_Neo_InfB_Sterkte_9</vt:lpstr>
      <vt:lpstr>_Neo_InfB_Supervisor</vt:lpstr>
      <vt:lpstr>_Neo_InfB_Toevoeging_0</vt:lpstr>
      <vt:lpstr>_Neo_InfB_Toevoeging_1</vt:lpstr>
      <vt:lpstr>_Neo_InfB_Toevoeging_2</vt:lpstr>
      <vt:lpstr>_Neo_InfB_Toevoeging_3</vt:lpstr>
      <vt:lpstr>_Neo_InfB_Toevoeging_4</vt:lpstr>
      <vt:lpstr>_Neo_InfB_Toevoeging_5</vt:lpstr>
      <vt:lpstr>_Neo_InfB_Toevoeging_6</vt:lpstr>
      <vt:lpstr>_Neo_InfB_Toevoeging_7</vt:lpstr>
      <vt:lpstr>_Neo_InfB_Toevoeging_8</vt:lpstr>
      <vt:lpstr>_Neo_InfB_TPNCaCl2</vt:lpstr>
      <vt:lpstr>_Neo_InfB_TPNNacl</vt:lpstr>
      <vt:lpstr>_Neo_InfB_VochtExtra_01</vt:lpstr>
      <vt:lpstr>_Neo_InfB_VochtExtra_02</vt:lpstr>
      <vt:lpstr>_Neo_InfB_VochtExtra_03</vt:lpstr>
      <vt:lpstr>_Neo_InfB_VochtExtra_04</vt:lpstr>
      <vt:lpstr>_Neo_InfB_VochtExtra_05</vt:lpstr>
      <vt:lpstr>_Neo_InfB_VochtExtra_06</vt:lpstr>
      <vt:lpstr>_Neo_InfB_VochtExtra_07</vt:lpstr>
      <vt:lpstr>_Neo_InfB_VochtExtra_08</vt:lpstr>
      <vt:lpstr>_Neo_InfB_VochtExtra_09</vt:lpstr>
      <vt:lpstr>_Neo_InfB_VochtExtra_10</vt:lpstr>
      <vt:lpstr>_Neo_InfB_VochtExtra_11</vt:lpstr>
      <vt:lpstr>_Neo_InfB_VochtExtra_12</vt:lpstr>
      <vt:lpstr>_Neo_InfB_VochtExtra_13</vt:lpstr>
      <vt:lpstr>_Neo_InfB_VochtExtra_14</vt:lpstr>
      <vt:lpstr>_Neo_InfB_Voeding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_Pat_Dagen</vt:lpstr>
      <vt:lpstr>_Pat_Gewicht</vt:lpstr>
      <vt:lpstr>_Pat_Lengte</vt:lpstr>
      <vt:lpstr>_Pat_OpnDatum</vt:lpstr>
      <vt:lpstr>_Pat_Weken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_Ped_Ent_Speciale_01</vt:lpstr>
      <vt:lpstr>_Ped_Ent_Speciale_02</vt:lpstr>
      <vt:lpstr>_Ped_Ent_Speciale_03</vt:lpstr>
      <vt:lpstr>_Ped_Ent_Speciale_04</vt:lpstr>
      <vt:lpstr>_Ped_Ent_Speciale_05</vt:lpstr>
      <vt:lpstr>_Ped_Ent_Speciale_06</vt:lpstr>
      <vt:lpstr>_Ped_Ent_Speciale_07</vt:lpstr>
      <vt:lpstr>_Ped_Ent_Speciale_08</vt:lpstr>
      <vt:lpstr>_Ped_Ent_Speciale_09</vt:lpstr>
      <vt:lpstr>_Ped_Ent_Speciale_10</vt:lpstr>
      <vt:lpstr>_Ped_Ent_Speciale_11</vt:lpstr>
      <vt:lpstr>_Ped_Ent_Speciale_12</vt:lpstr>
      <vt:lpstr>_Ped_Ent_Vol_1</vt:lpstr>
      <vt:lpstr>_Ped_Ent_Vol_2</vt:lpstr>
      <vt:lpstr>_Ped_Ent_Vol_3</vt:lpstr>
      <vt:lpstr>_Ped_Ent_Vol_4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_Ped_IVLijn_Opm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tbl_Glob_Patient</vt:lpstr>
      <vt:lpstr>tbl_Neo_Beds</vt:lpstr>
      <vt:lpstr>tbl_Neo_Dose</vt:lpstr>
      <vt:lpstr>tbl_Neo_FaktorLijst</vt:lpstr>
      <vt:lpstr>tbl_Neo_IntralipidSmof</vt:lpstr>
      <vt:lpstr>tbl_Neo_LijstToevoegingenKV</vt:lpstr>
      <vt:lpstr>tbl_Neo_LijstToevoegingenMM</vt:lpstr>
      <vt:lpstr>tbl_Neo_LijstVoeding</vt:lpstr>
      <vt:lpstr>tbl_Neo_MedIV</vt:lpstr>
      <vt:lpstr>tbl_Neo_NutrBMFToev</vt:lpstr>
      <vt:lpstr>tbl_Neo_NutrBMFWaard</vt:lpstr>
      <vt:lpstr>tbl_Neo_NutrKunstToev</vt:lpstr>
      <vt:lpstr>tbl_Neo_NutrMMToev</vt:lpstr>
      <vt:lpstr>tbl_Neo_NutrToevWaard</vt:lpstr>
      <vt:lpstr>tbl_Neo_Opl</vt:lpstr>
      <vt:lpstr>tbl_Neo_OpzoektabelKV</vt:lpstr>
      <vt:lpstr>tbl_Neo_OpzoektabelMM</vt:lpstr>
      <vt:lpstr>tbl_Neo_OpzoektabelVoeding</vt:lpstr>
      <vt:lpstr>tbl_Neo_Pos</vt:lpstr>
      <vt:lpstr>tbl_Neo_ToevoegingenKVPrint</vt:lpstr>
      <vt:lpstr>tbl_Neo_ToevoegingenMMPrint</vt:lpstr>
      <vt:lpstr>tbl_Neo_TpnNICU</vt:lpstr>
      <vt:lpstr>tbl_Neo_Tube</vt:lpstr>
      <vt:lpstr>tbl_Ped_aEEG</vt:lpstr>
      <vt:lpstr>tbl_Ped_Beds</vt:lpstr>
      <vt:lpstr>tbl_Ped_DrainLokatie</vt:lpstr>
      <vt:lpstr>tbl_Ped_DrainModus</vt:lpstr>
      <vt:lpstr>tbl_Ped_DrainZuig</vt:lpstr>
      <vt:lpstr>tbl_Ped_Lijnen</vt:lpstr>
      <vt:lpstr>tbl_Ped_LiquorDrain</vt:lpstr>
      <vt:lpstr>tbl_Ped_NIBD</vt:lpstr>
      <vt:lpstr>tbl_Ped_Periode</vt:lpstr>
      <vt:lpstr>tbl_Ped_PMInstelling</vt:lpstr>
      <vt:lpstr>tbl_Ped_PMStandaard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Var_AfspraakDatum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Var_Neo_Dag1700</vt:lpstr>
      <vt:lpstr>Var_Neo_GebDat1700</vt:lpstr>
      <vt:lpstr>Var_Neo_Gew1700</vt:lpstr>
      <vt:lpstr>Var_Neo_InfuusContinu1</vt:lpstr>
      <vt:lpstr>Var_Neo_InfuusContinu10</vt:lpstr>
      <vt:lpstr>Var_Neo_InfuusContinu11</vt:lpstr>
      <vt:lpstr>Var_Neo_InfuusContinu12</vt:lpstr>
      <vt:lpstr>Var_Neo_InfuusContinu13</vt:lpstr>
      <vt:lpstr>Var_Neo_InfuusContinu14</vt:lpstr>
      <vt:lpstr>Var_Neo_InfuusContinu15</vt:lpstr>
      <vt:lpstr>Var_Neo_InfuusContinu16</vt:lpstr>
      <vt:lpstr>Var_Neo_InfuusContinu17</vt:lpstr>
      <vt:lpstr>Var_Neo_InfuusContinu1700_1</vt:lpstr>
      <vt:lpstr>Var_Neo_InfuusContinu1700_10</vt:lpstr>
      <vt:lpstr>Var_Neo_InfuusContinu1700_11</vt:lpstr>
      <vt:lpstr>Var_Neo_InfuusContinu1700_12</vt:lpstr>
      <vt:lpstr>Var_Neo_InfuusContinu1700_13</vt:lpstr>
      <vt:lpstr>Var_Neo_InfuusContinu1700_14</vt:lpstr>
      <vt:lpstr>Var_Neo_InfuusContinu1700_15</vt:lpstr>
      <vt:lpstr>Var_Neo_InfuusContinu1700_16</vt:lpstr>
      <vt:lpstr>Var_Neo_InfuusContinu1700_17</vt:lpstr>
      <vt:lpstr>Var_Neo_InfuusContinu1700_18</vt:lpstr>
      <vt:lpstr>Var_Neo_InfuusContinu1700_19</vt:lpstr>
      <vt:lpstr>Var_Neo_InfuusContinu1700_2</vt:lpstr>
      <vt:lpstr>Var_Neo_InfuusContinu1700_20</vt:lpstr>
      <vt:lpstr>Var_Neo_InfuusContinu1700_21</vt:lpstr>
      <vt:lpstr>Var_Neo_InfuusContinu1700_22</vt:lpstr>
      <vt:lpstr>Var_Neo_InfuusContinu1700_23</vt:lpstr>
      <vt:lpstr>Var_Neo_InfuusContinu1700_24</vt:lpstr>
      <vt:lpstr>Var_Neo_InfuusContinu1700_25</vt:lpstr>
      <vt:lpstr>Var_Neo_InfuusContinu1700_26</vt:lpstr>
      <vt:lpstr>Var_Neo_InfuusContinu1700_27</vt:lpstr>
      <vt:lpstr>Var_Neo_InfuusContinu1700_3</vt:lpstr>
      <vt:lpstr>Var_Neo_InfuusContinu1700_4</vt:lpstr>
      <vt:lpstr>Var_Neo_InfuusContinu1700_5</vt:lpstr>
      <vt:lpstr>Var_Neo_InfuusContinu1700_6</vt:lpstr>
      <vt:lpstr>Var_Neo_InfuusContinu1700_7</vt:lpstr>
      <vt:lpstr>Var_Neo_InfuusContinu1700_8</vt:lpstr>
      <vt:lpstr>Var_Neo_InfuusContinu1700_9</vt:lpstr>
      <vt:lpstr>Var_Neo_InfuusContinu18</vt:lpstr>
      <vt:lpstr>Var_Neo_InfuusContinu19</vt:lpstr>
      <vt:lpstr>Var_Neo_InfuusContinu2</vt:lpstr>
      <vt:lpstr>Var_Neo_InfuusContinu20</vt:lpstr>
      <vt:lpstr>Var_Neo_InfuusContinu21</vt:lpstr>
      <vt:lpstr>Var_Neo_InfuusContinu22</vt:lpstr>
      <vt:lpstr>Var_Neo_InfuusContinu23</vt:lpstr>
      <vt:lpstr>Var_Neo_InfuusContinu24</vt:lpstr>
      <vt:lpstr>Var_Neo_InfuusContinu25</vt:lpstr>
      <vt:lpstr>Var_Neo_InfuusContinu26</vt:lpstr>
      <vt:lpstr>Var_Neo_InfuusContinu27</vt:lpstr>
      <vt:lpstr>Var_Neo_InfuusContinu3</vt:lpstr>
      <vt:lpstr>Var_Neo_InfuusContinu4</vt:lpstr>
      <vt:lpstr>Var_Neo_InfuusContinu5</vt:lpstr>
      <vt:lpstr>Var_Neo_InfuusContinu6</vt:lpstr>
      <vt:lpstr>Var_Neo_InfuusContinu7</vt:lpstr>
      <vt:lpstr>Var_Neo_InfuusContinu8</vt:lpstr>
      <vt:lpstr>Var_Neo_InfuusContinu9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Var_Neo_Percentage1700_0</vt:lpstr>
      <vt:lpstr>Var_Neo_Percentage1700_1</vt:lpstr>
      <vt:lpstr>Var_Neo_Percentage1700_2</vt:lpstr>
      <vt:lpstr>Var_Neo_Percentage1700_3</vt:lpstr>
      <vt:lpstr>Var_Neo_Percentage1700_4</vt:lpstr>
      <vt:lpstr>Var_Neo_Percentage1700_5</vt:lpstr>
      <vt:lpstr>Var_Neo_Percentage1700_6</vt:lpstr>
      <vt:lpstr>Var_Neo_Percentage1700_7</vt:lpstr>
      <vt:lpstr>Var_Neo_Percentage1700_8</vt:lpstr>
      <vt:lpstr>Var_Neo_Voeding1</vt:lpstr>
      <vt:lpstr>Var_Neo_Voeding10</vt:lpstr>
      <vt:lpstr>Var_Neo_Voeding11</vt:lpstr>
      <vt:lpstr>Var_Neo_Voeding12</vt:lpstr>
      <vt:lpstr>Var_Neo_Voeding13</vt:lpstr>
      <vt:lpstr>Var_Neo_Voeding14</vt:lpstr>
      <vt:lpstr>Var_Neo_Voeding15</vt:lpstr>
      <vt:lpstr>Var_Neo_Voeding1700_1</vt:lpstr>
      <vt:lpstr>Var_Neo_Voeding1700_10</vt:lpstr>
      <vt:lpstr>Var_Neo_Voeding1700_11</vt:lpstr>
      <vt:lpstr>Var_Neo_Voeding1700_12</vt:lpstr>
      <vt:lpstr>Var_Neo_Voeding1700_13</vt:lpstr>
      <vt:lpstr>Var_Neo_Voeding1700_14</vt:lpstr>
      <vt:lpstr>Var_Neo_Voeding1700_15</vt:lpstr>
      <vt:lpstr>Var_Neo_Voeding1700_2</vt:lpstr>
      <vt:lpstr>Var_Neo_Voeding1700_3</vt:lpstr>
      <vt:lpstr>Var_Neo_Voeding1700_4</vt:lpstr>
      <vt:lpstr>Var_Neo_Voeding1700_5</vt:lpstr>
      <vt:lpstr>Var_Neo_Voeding1700_6</vt:lpstr>
      <vt:lpstr>Var_Neo_Voeding1700_7</vt:lpstr>
      <vt:lpstr>Var_Neo_Voeding1700_8</vt:lpstr>
      <vt:lpstr>Var_Neo_Voeding1700_9</vt:lpstr>
      <vt:lpstr>Var_Neo_Voeding2</vt:lpstr>
      <vt:lpstr>Var_Neo_Voeding3</vt:lpstr>
      <vt:lpstr>Var_Neo_Voeding4</vt:lpstr>
      <vt:lpstr>Var_Neo_Voeding5</vt:lpstr>
      <vt:lpstr>Var_Neo_Voeding6</vt:lpstr>
      <vt:lpstr>Var_Neo_Voeding7</vt:lpstr>
      <vt:lpstr>Var_Neo_Voeding8</vt:lpstr>
      <vt:lpstr>Var_Neo_Voeding9</vt:lpstr>
      <vt:lpstr>Var_Neo_WerkbriefActueelIntravasaleToegangBreuk</vt:lpstr>
      <vt:lpstr>Var_Neo_WerkbriefActueelIntravasaleToegangGeheel</vt:lpstr>
      <vt:lpstr>Var_Neo_WerkbriefActueelIntravasaleToegangStand</vt:lpstr>
      <vt:lpstr>Var_Neo_WerkbriefActueelIntravasaleToegangTekst</vt:lpstr>
      <vt:lpstr>Var_Neo_WerkbriefActueelTPNCaClBreuk</vt:lpstr>
      <vt:lpstr>Var_Neo_WerkbriefActueelTPNCaClGeheel</vt:lpstr>
      <vt:lpstr>Var_Neo_WerkbriefActueelTPNCaClTekst</vt:lpstr>
      <vt:lpstr>Var_Neo_WerkbriefActueelTPNGlucBreuk</vt:lpstr>
      <vt:lpstr>Var_Neo_WerkbriefActueelTPNGlucGeheel</vt:lpstr>
      <vt:lpstr>Var_Neo_WerkbriefActueelTPNGlucTekst</vt:lpstr>
      <vt:lpstr>Var_Neo_WerkbriefActueelTPNKacetaatBreuk</vt:lpstr>
      <vt:lpstr>Var_Neo_WerkbriefActueelTPNKacetaatGeheel</vt:lpstr>
      <vt:lpstr>Var_Neo_WerkbriefActueelTPNKacetaatTekst</vt:lpstr>
      <vt:lpstr>Var_Neo_WerkbriefActueelTPNMgClBreuk</vt:lpstr>
      <vt:lpstr>Var_Neo_WerkbriefActueelTPNMgClGeheel</vt:lpstr>
      <vt:lpstr>Var_Neo_WerkbriefActueelTPNMgClTekst</vt:lpstr>
      <vt:lpstr>Var_Neo_WerkbriefActueelTPNNaClBreuk</vt:lpstr>
      <vt:lpstr>Var_Neo_WerkbriefActueelTPNNaClGeheel</vt:lpstr>
      <vt:lpstr>Var_Neo_WerkbriefActueelTPNNaCLTekst</vt:lpstr>
      <vt:lpstr>Var_Neo_WerkbriefActueelTPNNICUmixBreuk</vt:lpstr>
      <vt:lpstr>Var_Neo_WerkbriefActueelTPNNICUmixGeheel</vt:lpstr>
      <vt:lpstr>Var_Neo_WerkbriefActueelTPNNICUmixTekst</vt:lpstr>
      <vt:lpstr>Var_Neo_WerkbriefActueelTPNPrimeneBreuk</vt:lpstr>
      <vt:lpstr>Var_Neo_WerkbriefActueelTPNPrimeneGeheel</vt:lpstr>
      <vt:lpstr>Var_Neo_WerkbriefActueelTPNPrimeneTekst</vt:lpstr>
      <vt:lpstr>Var_Neo_WerkbriefActueelTPNSamBBreuk</vt:lpstr>
      <vt:lpstr>Var_Neo_WerkbriefActueelTPNSamBGeheel</vt:lpstr>
      <vt:lpstr>Var_Neo_WerkbriefActueelTPNSamBTekst</vt:lpstr>
      <vt:lpstr>Var_Neo_WerkbriefActueelTPNSoluvitBreuk</vt:lpstr>
      <vt:lpstr>Var_Neo_WerkbriefActueelTPNSoluvitGeheel</vt:lpstr>
      <vt:lpstr>Var_Neo_WerkbriefActueelTPNSoluvitTekst</vt:lpstr>
      <vt:lpstr>Var_Neo_WerkbriefActueelTPNStand</vt:lpstr>
      <vt:lpstr>Var_Neo_WerkbriefActueelTPNTotaalBreuk</vt:lpstr>
      <vt:lpstr>Var_Neo_WerkbriefActueelTPNTotaalGeheel</vt:lpstr>
      <vt:lpstr>Var_Neo_WerkbriefIntravasaleToegangBreuk</vt:lpstr>
      <vt:lpstr>Var_Neo_WerkbriefIntravasaleToegangGeheel</vt:lpstr>
      <vt:lpstr>Var_Neo_WerkbriefIntravasaleToegangStand</vt:lpstr>
      <vt:lpstr>Var_Neo_WerkbriefIntravasaleToegangTekst</vt:lpstr>
      <vt:lpstr>Var_Neo_WerkbriefTPNCaClBreuk</vt:lpstr>
      <vt:lpstr>Var_Neo_WerkbriefTPNCaClGeheel</vt:lpstr>
      <vt:lpstr>Var_Neo_WerkbriefTPNCaClTekst</vt:lpstr>
      <vt:lpstr>Var_Neo_WerkbriefTPNGlucBreuk</vt:lpstr>
      <vt:lpstr>Var_Neo_WerkbriefTPNGlucGeheel</vt:lpstr>
      <vt:lpstr>Var_Neo_WerkbriefTPNGlucTekst</vt:lpstr>
      <vt:lpstr>Var_Neo_WerkbriefTPNKacetaatBreuk</vt:lpstr>
      <vt:lpstr>Var_Neo_WerkbriefTPNKacetaatGeheel</vt:lpstr>
      <vt:lpstr>Var_Neo_WerkbriefTPNKacetaatTekst</vt:lpstr>
      <vt:lpstr>Var_Neo_WerkbriefTPNMgClBreuk</vt:lpstr>
      <vt:lpstr>Var_Neo_WerkbriefTPNMgClGeheel</vt:lpstr>
      <vt:lpstr>Var_Neo_WerkbriefTPNMgClTekst</vt:lpstr>
      <vt:lpstr>Var_Neo_WerkbriefTPNNaClBreuk</vt:lpstr>
      <vt:lpstr>Var_Neo_WerkbriefTPNNaClGeheel</vt:lpstr>
      <vt:lpstr>Var_Neo_WerkbriefTPNNaCLTekst</vt:lpstr>
      <vt:lpstr>Var_Neo_WerkbriefTPNNICUmixBreuk</vt:lpstr>
      <vt:lpstr>Var_Neo_WerkbriefTPNNICUmixGeheel</vt:lpstr>
      <vt:lpstr>Var_Neo_WerkbriefTPNNICUmixTekst</vt:lpstr>
      <vt:lpstr>Var_Neo_WerkbriefTPNPrimeneBreuk</vt:lpstr>
      <vt:lpstr>Var_Neo_WerkbriefTPNPrimeneGeheel</vt:lpstr>
      <vt:lpstr>Var_Neo_WerkbriefTPNPrimeneTekst</vt:lpstr>
      <vt:lpstr>Var_Neo_WerkbriefTPNSamBBreuk</vt:lpstr>
      <vt:lpstr>Var_Neo_WerkbriefTPNSamBGeheel</vt:lpstr>
      <vt:lpstr>Var_Neo_WerkbriefTPNSamBTekst</vt:lpstr>
      <vt:lpstr>Var_Neo_WerkbriefTPNSoluvitBreuk</vt:lpstr>
      <vt:lpstr>Var_Neo_WerkbriefTPNSoluvitGeheel</vt:lpstr>
      <vt:lpstr>Var_Neo_WerkbriefTPNSoluvitTekst</vt:lpstr>
      <vt:lpstr>Var_Neo_WerkbriefTPNStand</vt:lpstr>
      <vt:lpstr>Var_Neo_WerkbriefTPNTotaalBreuk</vt:lpstr>
      <vt:lpstr>Var_Neo_WerkbriefTPNTotaalGeheel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2016-04-21T10:04:09Z</cp:lastPrinted>
  <dcterms:created xsi:type="dcterms:W3CDTF">2000-03-04T00:29:05Z</dcterms:created>
  <dcterms:modified xsi:type="dcterms:W3CDTF">2017-01-01T21:14:04Z</dcterms:modified>
</cp:coreProperties>
</file>