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GlobNames!$A$1:$I$2209</definedName>
    <definedName name="_xlnm._FilterDatabase" localSheetId="14" hidden="1">GlobTemp!$A$2:$B$437</definedName>
    <definedName name="_xlnm._FilterDatabase" localSheetId="17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NeoTblMedIV!$B$4:$S$26</definedName>
    <definedName name="Tbl_Admin_ParEnt">GlobTblParEnt!$B$5:$N$46</definedName>
    <definedName name="Tbl_Admin_PedMedCont">PedTblMedIV!$B$5:$Q$35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GlobTblMedOpdr!$A$1:$A$942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K24" i="45" l="1"/>
  <c r="AK25" i="45"/>
  <c r="AK26" i="45"/>
  <c r="AK27" i="45"/>
  <c r="AK28" i="45"/>
  <c r="AK29" i="45"/>
  <c r="AK30" i="45"/>
  <c r="AK31" i="45"/>
  <c r="AK32" i="45"/>
  <c r="AK23" i="45"/>
  <c r="C4" i="74" l="1"/>
  <c r="B6" i="80" l="1"/>
  <c r="B7" i="80"/>
  <c r="B8" i="80"/>
  <c r="B9" i="80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0" i="88" l="1"/>
  <c r="B71" i="88"/>
  <c r="B72" i="88"/>
  <c r="B73" i="88"/>
  <c r="B74" i="88"/>
  <c r="I13" i="11" l="1"/>
  <c r="I12" i="1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5" i="49"/>
  <c r="D9" i="49"/>
  <c r="D8" i="49"/>
  <c r="D23" i="49"/>
  <c r="D24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2" i="87" l="1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6" i="24"/>
  <c r="J7" i="24"/>
  <c r="J5" i="24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U15" i="11"/>
  <c r="U33" i="11"/>
  <c r="U32" i="11"/>
  <c r="U5" i="11"/>
  <c r="U11" i="11"/>
  <c r="U35" i="11"/>
  <c r="U31" i="11"/>
  <c r="U7" i="11"/>
  <c r="U29" i="11"/>
  <c r="U16" i="11"/>
  <c r="U34" i="11"/>
  <c r="U28" i="11"/>
  <c r="U22" i="11"/>
  <c r="U21" i="11"/>
  <c r="U13" i="11"/>
  <c r="U10" i="11"/>
  <c r="U25" i="11"/>
  <c r="U24" i="11"/>
  <c r="U6" i="11"/>
  <c r="U30" i="11"/>
  <c r="U27" i="11"/>
  <c r="U18" i="11"/>
  <c r="U23" i="11"/>
  <c r="U20" i="11"/>
  <c r="U17" i="11"/>
  <c r="U8" i="11"/>
  <c r="U14" i="11"/>
  <c r="U19" i="11"/>
  <c r="U12" i="11"/>
  <c r="U26" i="11"/>
  <c r="U9" i="11"/>
  <c r="B27" i="6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AL32" i="45"/>
  <c r="AZ32" i="45"/>
  <c r="AY32" i="45" s="1"/>
  <c r="Q23" i="45"/>
  <c r="K28" i="39" s="1"/>
  <c r="Q22" i="45"/>
  <c r="K26" i="39" s="1"/>
  <c r="G32" i="45"/>
  <c r="AH32" i="45"/>
  <c r="O37" i="39" l="1"/>
  <c r="C53" i="74"/>
  <c r="E52" i="74"/>
  <c r="F135" i="9"/>
  <c r="P135" i="9" s="1"/>
  <c r="H135" i="9"/>
  <c r="AE32" i="45"/>
  <c r="AF32" i="45"/>
  <c r="AJ32" i="45" s="1"/>
  <c r="B37" i="39" s="1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31" i="45"/>
  <c r="G30" i="45"/>
  <c r="G29" i="45"/>
  <c r="G28" i="45"/>
  <c r="G27" i="45"/>
  <c r="G26" i="45"/>
  <c r="G25" i="45"/>
  <c r="G24" i="45"/>
  <c r="G23" i="45"/>
  <c r="B115" i="9"/>
  <c r="AH28" i="45"/>
  <c r="AH31" i="45"/>
  <c r="AH24" i="45"/>
  <c r="AH27" i="45"/>
  <c r="AH29" i="45"/>
  <c r="AH25" i="45"/>
  <c r="AH30" i="45"/>
  <c r="AH23" i="45"/>
  <c r="AH26" i="45"/>
  <c r="J6" i="87" l="1"/>
  <c r="B13" i="87" s="1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AN5" i="12" s="1"/>
  <c r="T48" i="9" s="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B114" i="9"/>
  <c r="G46" i="87" l="1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J50" i="87"/>
  <c r="G48" i="87"/>
  <c r="G45" i="87"/>
  <c r="D48" i="87"/>
  <c r="D61" i="87"/>
  <c r="A59" i="87"/>
  <c r="A56" i="87"/>
  <c r="O45" i="87"/>
  <c r="P59" i="87"/>
  <c r="M48" i="87"/>
  <c r="J48" i="87"/>
  <c r="J61" i="87"/>
  <c r="G59" i="87"/>
  <c r="G56" i="87"/>
  <c r="D59" i="87"/>
  <c r="C56" i="87"/>
  <c r="D50" i="87"/>
  <c r="A48" i="87"/>
  <c r="P48" i="87"/>
  <c r="O56" i="87"/>
  <c r="P50" i="87"/>
  <c r="M45" i="87"/>
  <c r="I45" i="87"/>
  <c r="A45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C14" i="81"/>
  <c r="C15" i="81"/>
  <c r="C16" i="8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J65" i="5" l="1"/>
  <c r="G60" i="5"/>
  <c r="T126" i="9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T25" i="11"/>
  <c r="S25" i="11"/>
  <c r="T24" i="11"/>
  <c r="S24" i="11"/>
  <c r="T23" i="11"/>
  <c r="S23" i="11"/>
  <c r="T22" i="11"/>
  <c r="I14" i="12" s="1"/>
  <c r="Y14" i="12" s="1"/>
  <c r="S22" i="1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AG19" i="12"/>
  <c r="H62" i="9" s="1"/>
  <c r="I6" i="12"/>
  <c r="Y6" i="12" s="1"/>
  <c r="I19" i="12"/>
  <c r="Y19" i="12" s="1"/>
  <c r="I11" i="12"/>
  <c r="Y11" i="12" s="1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X5" i="12" s="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59" i="9"/>
  <c r="B67" i="9"/>
  <c r="B65" i="9"/>
  <c r="B58" i="9"/>
  <c r="B62" i="9"/>
  <c r="B64" i="9"/>
  <c r="B66" i="9"/>
  <c r="B60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E31" i="74" s="1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49" i="74" l="1"/>
  <c r="C50" i="74"/>
  <c r="E49" i="74"/>
  <c r="C43" i="74"/>
  <c r="C44" i="74"/>
  <c r="E43" i="74"/>
  <c r="C40" i="74"/>
  <c r="C41" i="74"/>
  <c r="E40" i="74"/>
  <c r="C37" i="74"/>
  <c r="C38" i="74"/>
  <c r="E37" i="74"/>
  <c r="C31" i="74"/>
  <c r="C32" i="74"/>
  <c r="C25" i="74"/>
  <c r="C26" i="74"/>
  <c r="E25" i="74"/>
  <c r="C28" i="74"/>
  <c r="C29" i="74"/>
  <c r="E28" i="74"/>
  <c r="C34" i="74"/>
  <c r="C35" i="74"/>
  <c r="E34" i="74"/>
  <c r="C46" i="74"/>
  <c r="C47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F24" i="74"/>
  <c r="H36" i="74"/>
  <c r="J37" i="74"/>
  <c r="C36" i="74"/>
  <c r="E36" i="74"/>
  <c r="J34" i="74"/>
  <c r="C33" i="74"/>
  <c r="H33" i="74"/>
  <c r="E33" i="74"/>
  <c r="E45" i="74"/>
  <c r="J46" i="74"/>
  <c r="C45" i="74"/>
  <c r="H45" i="74"/>
  <c r="H27" i="74"/>
  <c r="J28" i="74"/>
  <c r="E39" i="74"/>
  <c r="H39" i="74"/>
  <c r="J40" i="74"/>
  <c r="C39" i="74"/>
  <c r="E48" i="74"/>
  <c r="J49" i="74"/>
  <c r="H48" i="74"/>
  <c r="C48" i="74"/>
  <c r="H30" i="74"/>
  <c r="J31" i="74"/>
  <c r="C30" i="74"/>
  <c r="E30" i="74"/>
  <c r="E42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1" i="9"/>
  <c r="B132" i="9"/>
  <c r="B129" i="9"/>
  <c r="B128" i="9"/>
  <c r="B127" i="9"/>
  <c r="B130" i="9"/>
  <c r="B126" i="9"/>
  <c r="B133" i="9"/>
  <c r="B134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0" i="9"/>
  <c r="B124" i="9"/>
  <c r="B118" i="9"/>
  <c r="B123" i="9"/>
  <c r="B122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S56" i="45"/>
  <c r="AX56" i="45"/>
  <c r="AT56" i="45"/>
  <c r="AR56" i="45"/>
  <c r="AV56" i="45"/>
  <c r="AM56" i="45"/>
  <c r="AU56" i="45"/>
  <c r="AN56" i="45"/>
  <c r="AQ56" i="45"/>
  <c r="AP56" i="45"/>
  <c r="AW56" i="45"/>
  <c r="AO56" i="45"/>
  <c r="B121" i="9"/>
  <c r="B116" i="9"/>
  <c r="B117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J141" i="9" l="1"/>
  <c r="AL50" i="45"/>
  <c r="I52" i="33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B141" i="9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M57" i="45"/>
  <c r="AL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V57" i="45"/>
  <c r="AS57" i="45"/>
  <c r="AW57" i="45"/>
  <c r="AT57" i="45"/>
  <c r="AL58" i="45"/>
  <c r="AM58" i="45"/>
  <c r="AO57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U57" i="45"/>
  <c r="AO58" i="45"/>
  <c r="AN57" i="45"/>
  <c r="AN58" i="45"/>
  <c r="AX57" i="45"/>
  <c r="AS58" i="45"/>
  <c r="AU58" i="45"/>
  <c r="AV58" i="45"/>
  <c r="AR57" i="45"/>
  <c r="AQ58" i="45"/>
  <c r="AP58" i="45"/>
  <c r="AP57" i="45"/>
  <c r="AR58" i="45"/>
  <c r="AX58" i="45"/>
  <c r="AT58" i="45"/>
  <c r="AQ57" i="45"/>
  <c r="AW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2" i="9"/>
  <c r="B51" i="9"/>
  <c r="B49" i="9"/>
  <c r="B50" i="9"/>
  <c r="B53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S4" i="14" s="1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S8" i="14" s="1"/>
  <c r="Q9" i="14"/>
  <c r="S9" i="14" s="1"/>
  <c r="Q10" i="14"/>
  <c r="S10" i="14" s="1"/>
  <c r="Q11" i="14"/>
  <c r="Q12" i="14"/>
  <c r="S12" i="14" s="1"/>
  <c r="Q13" i="14"/>
  <c r="S13" i="14" s="1"/>
  <c r="Q14" i="14"/>
  <c r="S14" i="14" s="1"/>
  <c r="Q15" i="14"/>
  <c r="S15" i="14" s="1"/>
  <c r="Q16" i="14"/>
  <c r="S16" i="14" s="1"/>
  <c r="Q17" i="14"/>
  <c r="S17" i="14" s="1"/>
  <c r="Q18" i="14"/>
  <c r="S18" i="14" s="1"/>
  <c r="Q19" i="14"/>
  <c r="S19" i="14" s="1"/>
  <c r="Q20" i="14"/>
  <c r="S20" i="14" s="1"/>
  <c r="Q21" i="14"/>
  <c r="S21" i="14" s="1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S7" i="14" l="1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16" i="16" l="1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Z7" i="27" l="1"/>
  <c r="D10" i="5" s="1"/>
  <c r="BK4" i="14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2" i="24"/>
  <c r="L11" i="24"/>
  <c r="L10" i="24"/>
  <c r="L9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0" i="24"/>
  <c r="L7" i="24"/>
  <c r="L6" i="24"/>
  <c r="M7" i="24"/>
  <c r="M11" i="24"/>
  <c r="M12" i="24"/>
  <c r="L13" i="24"/>
  <c r="L15" i="24"/>
  <c r="L14" i="24"/>
  <c r="M9" i="24"/>
  <c r="L5" i="24"/>
  <c r="L8" i="24"/>
  <c r="L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5" i="24"/>
  <c r="M6" i="24"/>
  <c r="M13" i="24"/>
  <c r="M14" i="24"/>
  <c r="M3" i="24"/>
  <c r="M8" i="24"/>
  <c r="M5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<sst xmlns="http://schemas.openxmlformats.org/spreadsheetml/2006/main" count="12074" uniqueCount="7087">
  <si>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</si>
  <si>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</si>
  <si>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</si>
  <si>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</si>
  <si>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</si>
  <si>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</si>
  <si>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</si>
  <si>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</si>
  <si>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</si>
  <si>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</si>
  <si>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</si>
  <si>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</si>
  <si>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</si>
  <si>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</si>
  <si>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</si>
  <si>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</si>
  <si>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</si>
  <si>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</si>
  <si>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</si>
  <si>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</si>
  <si>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</si>
  <si>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</si>
  <si>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</si>
  <si>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</si>
  <si>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</si>
  <si>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</si>
  <si>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</si>
  <si>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</si>
  <si>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</si>
  <si>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</si>
  <si>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</si>
  <si>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</si>
  <si>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</si>
  <si>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</si>
  <si>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</si>
  <si>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</si>
  <si>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</si>
  <si>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</si>
  <si>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</si>
  <si>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</si>
  <si>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</si>
  <si>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</si>
  <si>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</si>
  <si>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</si>
  <si>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</si>
  <si>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</si>
  <si>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</si>
  <si>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</si>
  <si>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</si>
  <si>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</si>
  <si>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</si>
  <si>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</si>
  <si>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</si>
  <si>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</si>
  <si>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</si>
  <si>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</si>
  <si>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</si>
  <si>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</si>
  <si>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</si>
  <si>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</si>
  <si>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</si>
  <si>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</si>
  <si>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</si>
  <si>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</si>
  <si>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</si>
  <si>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</si>
  <si>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</si>
  <si>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</si>
  <si>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</si>
  <si>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</si>
  <si>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</si>
  <si>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</si>
  <si>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</si>
  <si>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</si>
  <si>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</si>
  <si>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</si>
  <si>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</si>
  <si>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</si>
  <si>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</si>
  <si>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</si>
  <si>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</si>
  <si>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</si>
  <si>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</si>
  <si>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</si>
  <si>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</si>
  <si>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</si>
  <si>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</si>
  <si>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</si>
  <si>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</si>
  <si>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</si>
  <si>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</si>
  <si>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</si>
  <si>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</si>
  <si>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</si>
  <si>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</si>
  <si>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</si>
  <si>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</si>
  <si>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</si>
  <si>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</si>
  <si>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</si>
  <si>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</si>
  <si>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</si>
  <si>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</si>
  <si>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</si>
  <si>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</si>
  <si>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</si>
  <si>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</si>
  <si>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</si>
  <si>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</si>
  <si>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</si>
  <si>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</si>
  <si>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</si>
  <si>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</si>
  <si>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</si>
  <si>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</si>
  <si>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</si>
  <si>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</si>
  <si>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</si>
  <si>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</si>
  <si>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</si>
  <si>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</si>
  <si>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</si>
  <si>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</si>
  <si>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</si>
  <si>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</si>
  <si>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</si>
  <si>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</si>
  <si>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</si>
  <si>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</si>
  <si>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</si>
  <si>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</si>
  <si>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</si>
  <si>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</si>
  <si>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</si>
  <si>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</si>
  <si>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</si>
  <si>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</si>
  <si>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</si>
  <si>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</si>
  <si>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</si>
  <si>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</si>
  <si>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</si>
  <si>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</si>
  <si>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</si>
  <si>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</si>
  <si>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</si>
  <si>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</si>
  <si>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</si>
  <si>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</si>
  <si>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</si>
  <si>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</si>
  <si>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</si>
  <si>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</si>
  <si>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</si>
  <si>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</si>
  <si>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</si>
  <si>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</si>
  <si>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</si>
  <si>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</si>
  <si>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</si>
  <si>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</si>
  <si>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</si>
  <si>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</si>
  <si>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</si>
  <si>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</si>
  <si>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</si>
  <si>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</si>
  <si>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</si>
  <si>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</si>
  <si>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</si>
  <si>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</si>
  <si>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</si>
  <si>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</si>
  <si>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</si>
  <si>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</si>
  <si>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</si>
  <si>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</si>
  <si>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</si>
  <si>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</si>
  <si>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</si>
  <si>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</si>
  <si>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</si>
  <si>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</si>
  <si>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</si>
  <si>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</si>
  <si>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</si>
  <si>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</si>
  <si>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</si>
  <si>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</si>
  <si>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</si>
  <si>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</si>
  <si>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</si>
  <si>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</si>
  <si>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</si>
  <si>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</si>
  <si>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</si>
  <si>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</si>
  <si>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</si>
  <si>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</si>
  <si>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</si>
  <si>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</si>
  <si>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</si>
  <si>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</si>
  <si>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</si>
  <si>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</si>
  <si>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</si>
  <si>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</si>
  <si>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</si>
  <si>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</si>
  <si>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</si>
  <si>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</si>
  <si>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</si>
  <si>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</si>
  <si>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</si>
  <si>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</si>
  <si>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</si>
  <si>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</si>
  <si>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</si>
  <si>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</si>
  <si>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</si>
  <si>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</si>
  <si>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</si>
  <si>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</si>
  <si>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</si>
  <si>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</si>
  <si>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</si>
  <si>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</si>
  <si>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</si>
  <si>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</si>
  <si>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</si>
  <si>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</si>
  <si>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</si>
  <si>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</si>
  <si>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</si>
  <si>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</si>
  <si>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</si>
  <si>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</si>
  <si>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</si>
  <si>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</si>
  <si>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</si>
  <si>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</si>
  <si>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</si>
  <si>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</si>
  <si>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</si>
  <si>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</si>
  <si>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</si>
  <si>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</si>
  <si>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</si>
  <si>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</si>
  <si>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</si>
  <si>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</si>
  <si>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</si>
  <si>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</si>
  <si>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</si>
  <si>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</si>
  <si>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</si>
  <si>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</si>
  <si>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</si>
  <si>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</si>
  <si>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</si>
  <si>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</si>
  <si>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</si>
  <si>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</si>
  <si>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</si>
  <si>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</si>
  <si>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</si>
  <si>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</si>
  <si>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</si>
  <si>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</si>
  <si>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</si>
  <si>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</si>
  <si>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</si>
  <si>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</si>
  <si>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</si>
  <si>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</si>
  <si>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</si>
  <si>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</si>
  <si>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</si>
  <si>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</si>
  <si>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</si>
  <si>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</si>
  <si>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</si>
  <si>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</si>
  <si>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</si>
  <si>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</si>
  <si>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</si>
  <si>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</si>
  <si>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</si>
  <si>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</si>
  <si>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</si>
  <si>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</si>
  <si>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</si>
  <si>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</si>
  <si>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</si>
  <si>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</si>
  <si>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</si>
  <si>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</si>
  <si>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</si>
  <si>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</si>
  <si>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</si>
  <si>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</si>
  <si>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</si>
  <si>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</si>
  <si>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</si>
  <si>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</si>
  <si>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</si>
  <si>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</si>
  <si>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</si>
  <si>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</si>
  <si>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</si>
  <si>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</si>
  <si>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</si>
  <si>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</si>
  <si>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</si>
  <si>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</si>
  <si>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</si>
  <si>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</si>
  <si>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</si>
  <si>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</si>
  <si>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</si>
  <si>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</si>
  <si>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</si>
  <si>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</si>
  <si>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</si>
  <si>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</si>
  <si>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</si>
  <si>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</si>
  <si>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</si>
  <si>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</si>
  <si>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</si>
  <si>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</si>
  <si>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</si>
  <si>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</si>
  <si>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</si>
  <si>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</si>
  <si>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</si>
  <si>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</si>
  <si>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</si>
  <si>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</si>
  <si>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</si>
  <si>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</si>
  <si>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</si>
  <si>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</si>
  <si>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</si>
  <si>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</si>
  <si>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</si>
  <si>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</si>
  <si>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</si>
  <si>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</si>
  <si>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</si>
  <si>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</si>
  <si>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</si>
  <si>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</si>
  <si>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</si>
  <si>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</si>
  <si>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</si>
  <si>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</si>
  <si>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</si>
  <si>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</si>
  <si>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</si>
  <si>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</si>
  <si>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</si>
  <si>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</si>
  <si>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</si>
  <si>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</si>
  <si>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</si>
  <si>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</si>
  <si>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</si>
  <si>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</si>
  <si>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</si>
  <si>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</si>
  <si>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</si>
  <si>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</si>
  <si>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</si>
  <si>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</si>
  <si>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</si>
  <si>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</si>
  <si>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</si>
  <si>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</si>
  <si>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</si>
  <si>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</si>
  <si>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</si>
  <si>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</si>
  <si>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</si>
  <si>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</si>
  <si>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</si>
  <si>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</si>
  <si>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</si>
  <si>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</si>
  <si>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</si>
  <si>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</si>
  <si>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</si>
  <si>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</si>
  <si>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</si>
  <si>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</si>
  <si>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</si>
  <si>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</si>
  <si>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</si>
  <si>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</si>
  <si>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</si>
  <si>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</si>
  <si>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</si>
  <si>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</si>
  <si>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</si>
  <si>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</si>
  <si>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</si>
  <si>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</si>
  <si>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</si>
  <si>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</si>
  <si>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</si>
  <si>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</si>
  <si>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</si>
  <si>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</si>
  <si>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</si>
  <si>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</si>
  <si>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</si>
  <si>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</si>
  <si>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</si>
  <si>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</si>
  <si>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</si>
  <si>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</si>
  <si>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</si>
  <si>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</si>
  <si>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</si>
  <si>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</si>
  <si>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</si>
  <si>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</si>
  <si>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</si>
  <si>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</si>
  <si>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</si>
  <si>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</si>
  <si>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</si>
  <si>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</si>
  <si>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</si>
  <si>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</si>
  <si>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</si>
  <si>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</si>
  <si>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</si>
  <si>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</si>
  <si>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</si>
  <si>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</si>
  <si>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</si>
  <si>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</si>
  <si>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</si>
  <si>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</si>
  <si>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</si>
  <si>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</si>
  <si>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</si>
  <si>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</si>
  <si>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</si>
  <si>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</si>
  <si>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</si>
  <si>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</si>
  <si>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</si>
  <si>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</si>
  <si>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</si>
  <si>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</si>
  <si>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</si>
  <si>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</si>
  <si>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</si>
  <si>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</si>
  <si>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</si>
  <si>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</si>
  <si>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</si>
  <si>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</si>
  <si>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</si>
  <si>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</si>
  <si>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</si>
  <si>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</si>
  <si>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</si>
  <si>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</si>
  <si>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</si>
  <si>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</si>
  <si>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</si>
  <si>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</si>
  <si>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</si>
  <si>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</si>
  <si>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</si>
  <si>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</si>
  <si>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</si>
  <si>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</si>
  <si>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</si>
  <si>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</si>
  <si>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</si>
  <si>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</si>
  <si>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</si>
  <si>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</si>
  <si>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</si>
  <si>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</si>
  <si>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</si>
  <si>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</si>
  <si>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</si>
  <si>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</si>
  <si>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</si>
  <si>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</si>
  <si>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</si>
  <si>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</si>
  <si>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</si>
  <si>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</si>
  <si>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</si>
  <si>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</si>
  <si>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</si>
  <si>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</si>
  <si>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</si>
  <si>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</si>
  <si>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</si>
  <si>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</si>
  <si>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</si>
  <si>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</si>
  <si>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</si>
  <si>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</si>
  <si>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</si>
  <si>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</si>
  <si>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</si>
  <si>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</si>
  <si>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</si>
  <si>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</si>
  <si>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</si>
  <si>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</si>
  <si>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</si>
  <si>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</si>
  <si>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</si>
  <si>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</si>
  <si>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</si>
  <si>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</si>
  <si>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</si>
  <si>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</si>
  <si>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</si>
  <si>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</si>
  <si>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</si>
  <si>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</si>
  <si>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</si>
  <si>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</si>
  <si>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</si>
  <si>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</si>
  <si>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</si>
  <si>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</si>
  <si>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</si>
  <si>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</si>
  <si>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</si>
  <si>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</si>
  <si>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</si>
  <si>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</si>
  <si>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</si>
  <si>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</si>
  <si>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</si>
  <si>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</si>
  <si>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</si>
  <si>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</si>
  <si>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</si>
  <si>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</si>
  <si>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</si>
  <si>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</si>
  <si>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</si>
  <si>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</si>
  <si>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</si>
  <si>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</si>
  <si>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</si>
  <si>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</si>
  <si>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</si>
  <si>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</si>
  <si>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</si>
  <si>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</si>
  <si>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</si>
  <si>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</si>
  <si>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</si>
  <si>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</si>
  <si>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</si>
  <si>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</si>
  <si>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</si>
  <si>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</si>
  <si>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</si>
  <si>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</si>
  <si>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</si>
  <si>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</si>
  <si>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</si>
  <si>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</si>
  <si>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</si>
  <si>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</si>
  <si>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</si>
  <si>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</si>
  <si>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</si>
  <si>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</si>
  <si>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</si>
  <si>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</si>
  <si>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</si>
  <si>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</si>
  <si>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</si>
  <si>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</si>
  <si>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</si>
  <si>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</si>
  <si>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</si>
  <si>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</si>
  <si>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</si>
  <si>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</si>
  <si>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</si>
  <si>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</si>
  <si>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</si>
  <si>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</si>
  <si>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</si>
  <si>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</si>
  <si>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</si>
  <si>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</si>
  <si>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</si>
  <si>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</si>
  <si>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</si>
  <si>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</si>
  <si>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</si>
  <si>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</si>
  <si>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</si>
  <si>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</si>
  <si>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</si>
  <si>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</si>
  <si>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</si>
  <si>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</si>
  <si>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</si>
  <si>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</si>
  <si>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</si>
  <si>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</si>
  <si>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</si>
  <si>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</si>
  <si>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</si>
  <si>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</si>
  <si>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</si>
  <si>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</si>
  <si>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</si>
  <si>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</si>
  <si>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</si>
  <si>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</si>
  <si>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</si>
  <si>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</si>
  <si>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</si>
  <si>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</si>
  <si>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</si>
  <si>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</si>
  <si>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</si>
  <si>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</si>
  <si>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</si>
  <si>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</si>
  <si>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</si>
  <si>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</si>
  <si>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</si>
  <si>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</si>
  <si>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</si>
  <si>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</si>
  <si>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</si>
  <si>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</si>
  <si>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</si>
  <si>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</si>
  <si>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</si>
  <si>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</si>
  <si>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</si>
  <si>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</si>
  <si>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</si>
  <si>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</si>
  <si>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</si>
  <si>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</si>
  <si>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</si>
  <si>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</si>
  <si>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</si>
  <si>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</si>
  <si>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</si>
  <si>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</si>
  <si>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</si>
  <si>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</si>
  <si>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</si>
  <si>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</si>
  <si>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</si>
  <si>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</si>
  <si>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</si>
  <si>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</si>
  <si>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</si>
  <si>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</si>
  <si>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</si>
  <si>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</si>
  <si>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</si>
  <si>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</si>
  <si>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</si>
  <si>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</si>
  <si>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</si>
  <si>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</si>
  <si>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</si>
  <si>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</si>
  <si>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</si>
  <si>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</si>
  <si>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</si>
  <si>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</si>
  <si>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</si>
  <si>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</si>
  <si>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</si>
  <si>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</si>
  <si>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</si>
  <si>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</si>
  <si>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</si>
  <si>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</si>
  <si>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</si>
  <si>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</si>
  <si>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</si>
  <si>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</si>
  <si>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</si>
  <si>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</si>
  <si>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</si>
  <si>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</si>
  <si>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</si>
  <si>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</si>
  <si>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</si>
  <si>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</si>
  <si>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</si>
  <si>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</si>
  <si>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</si>
  <si>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</si>
  <si>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</si>
  <si>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</si>
  <si>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</si>
  <si>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</si>
  <si>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</si>
  <si>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</si>
  <si>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</si>
  <si>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</si>
  <si>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</si>
  <si>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</si>
  <si>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</si>
  <si>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</si>
  <si>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</si>
  <si>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</si>
  <si>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</si>
  <si>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</si>
  <si>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</si>
  <si>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</si>
  <si>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</si>
  <si>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</si>
  <si>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</si>
  <si>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</si>
  <si>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</si>
  <si>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</si>
  <si>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</si>
  <si>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</si>
  <si>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</si>
  <si>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</si>
  <si>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</si>
  <si>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</si>
  <si>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</si>
  <si>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</si>
  <si>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</si>
  <si>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</si>
  <si>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</si>
  <si>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</si>
  <si>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</si>
  <si>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</si>
  <si>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</si>
  <si>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</si>
  <si>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</si>
  <si>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</si>
  <si>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</si>
  <si>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</si>
  <si>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</si>
  <si>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</si>
  <si>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</si>
  <si>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</si>
  <si>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</si>
  <si>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</si>
  <si>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</si>
  <si>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</si>
  <si>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</si>
  <si>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</si>
  <si>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</si>
  <si>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</si>
  <si>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</si>
  <si>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</si>
  <si>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</si>
  <si>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</si>
  <si>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</si>
  <si>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</si>
  <si>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</si>
  <si>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</si>
  <si>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</si>
  <si>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</si>
  <si>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</si>
  <si>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</si>
  <si>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</si>
  <si>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</si>
  <si>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</si>
  <si>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</si>
  <si>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</si>
  <si>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</si>
  <si>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</si>
  <si>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</si>
  <si>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</si>
  <si>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</si>
  <si>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</si>
  <si>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</si>
  <si>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</si>
  <si>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</si>
  <si>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</si>
  <si>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</si>
  <si>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</si>
  <si>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</si>
  <si>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</si>
  <si>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</si>
  <si>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</si>
  <si>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</si>
  <si>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</si>
  <si>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</si>
  <si>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</si>
  <si>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</si>
  <si>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</si>
  <si>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</si>
  <si>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</si>
  <si>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</si>
  <si>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</si>
  <si>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</si>
  <si>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</si>
  <si>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</si>
  <si>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</si>
  <si>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</si>
  <si>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</si>
  <si>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</si>
  <si>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</si>
  <si>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</si>
  <si>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</si>
  <si>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</si>
  <si>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</si>
  <si>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</si>
  <si>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</si>
  <si>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</si>
  <si>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</si>
  <si>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</si>
  <si>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</si>
  <si>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</si>
  <si>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</si>
  <si>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</si>
  <si>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</si>
  <si>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</si>
  <si>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</si>
  <si>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</si>
  <si>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</si>
  <si>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</si>
  <si>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</si>
  <si>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</si>
  <si>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</si>
  <si>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</si>
  <si>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</si>
  <si>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</si>
  <si>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</si>
  <si>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</si>
  <si>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</si>
  <si>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</si>
  <si>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</si>
  <si>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</si>
  <si>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</si>
  <si>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</si>
  <si>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</si>
  <si>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</si>
  <si>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</si>
  <si>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</si>
  <si>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</si>
  <si>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</si>
  <si>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</si>
  <si>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</si>
  <si>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</si>
  <si>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</si>
  <si>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</si>
  <si>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</si>
  <si>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</si>
  <si>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</si>
  <si>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</si>
  <si>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</si>
  <si>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</si>
  <si>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</si>
  <si>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</si>
  <si>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</si>
  <si>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</si>
  <si>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</si>
  <si>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</si>
  <si>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</si>
  <si>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</si>
  <si>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</si>
  <si>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</si>
  <si>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</si>
  <si>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</si>
  <si>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</si>
  <si>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</si>
  <si>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</si>
  <si>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</si>
  <si>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</si>
  <si>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</si>
  <si>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</si>
  <si>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</si>
  <si>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</si>
  <si>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</si>
  <si>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</si>
  <si>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</si>
  <si>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</si>
  <si>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</si>
  <si>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</si>
  <si>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</si>
  <si>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</si>
  <si>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</si>
  <si>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</si>
  <si>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</si>
  <si>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</si>
  <si>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</si>
  <si>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</si>
  <si>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</si>
  <si>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</si>
  <si>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</si>
  <si>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</si>
  <si>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</si>
  <si>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</si>
  <si>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</si>
  <si>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</si>
  <si>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</si>
  <si>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</si>
  <si>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</si>
  <si>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</si>
  <si>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</si>
  <si>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</si>
  <si>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</si>
  <si>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</si>
  <si>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</si>
  <si>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</si>
  <si>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</si>
  <si>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</si>
  <si>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</si>
  <si>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</si>
  <si>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</si>
  <si>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</si>
  <si>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</si>
  <si>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</si>
  <si>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</si>
  <si>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</si>
  <si>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</si>
  <si>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</si>
  <si>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</si>
  <si>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</si>
  <si>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</si>
  <si>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</si>
  <si>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</si>
  <si>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</si>
  <si>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</si>
  <si>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</si>
  <si>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</si>
  <si>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</si>
  <si>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</si>
  <si>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</si>
  <si>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</si>
  <si>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</si>
  <si>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</si>
  <si>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</si>
  <si>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</si>
  <si>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</si>
  <si>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</si>
  <si>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</si>
  <si>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</si>
  <si>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</si>
  <si>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</si>
  <si>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</si>
  <si>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</si>
  <si>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</si>
  <si>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</si>
  <si>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</si>
  <si>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</si>
  <si>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</si>
  <si>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</si>
  <si>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</si>
  <si>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</si>
  <si>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</si>
  <si>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</si>
  <si>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</si>
  <si>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</si>
  <si>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</si>
  <si>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</si>
  <si>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</si>
  <si>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</si>
  <si>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</si>
  <si>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</si>
  <si>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</si>
  <si>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</si>
  <si>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</si>
  <si>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</si>
  <si>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</si>
  <si>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</si>
  <si>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</si>
  <si>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</si>
  <si>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</si>
  <si>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</si>
  <si>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</si>
  <si>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</si>
  <si>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</si>
  <si>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</si>
  <si>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</si>
  <si>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</si>
  <si>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</si>
  <si>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</si>
  <si>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</si>
  <si>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</si>
  <si>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</si>
  <si>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</si>
  <si>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</si>
  <si>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</si>
  <si>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</si>
  <si>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</si>
  <si>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</si>
  <si>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</si>
  <si>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</si>
  <si>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</si>
  <si>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</si>
  <si>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</si>
  <si>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</si>
  <si>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</si>
  <si>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</si>
  <si>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</si>
  <si>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</si>
  <si>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</si>
  <si>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</si>
  <si>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</si>
  <si>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</si>
  <si>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</si>
  <si>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</si>
  <si>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</si>
  <si>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</si>
  <si>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</si>
  <si>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</si>
  <si>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</si>
  <si>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</si>
  <si>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</si>
  <si>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</si>
  <si>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</si>
  <si>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</si>
  <si>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</si>
  <si>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</si>
  <si>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</si>
  <si>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</si>
  <si>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</si>
  <si>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</si>
  <si>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</si>
  <si>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</si>
  <si>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</si>
  <si>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</si>
  <si>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</si>
  <si>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</si>
  <si>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</si>
  <si>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</si>
  <si>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</si>
  <si>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</si>
  <si>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</si>
  <si>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</si>
  <si>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</si>
  <si>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</si>
  <si>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</si>
  <si>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</si>
  <si>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</si>
  <si>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</si>
  <si>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</si>
  <si>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</si>
  <si>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</si>
  <si>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</si>
  <si>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</si>
  <si>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</si>
  <si>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</si>
  <si>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</si>
  <si>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</si>
  <si>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</si>
  <si>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</si>
  <si>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</si>
  <si>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</si>
  <si>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</si>
  <si>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</si>
  <si>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</si>
  <si>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</si>
  <si>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</si>
  <si>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</si>
  <si>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</si>
  <si>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</si>
  <si>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</si>
  <si>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</si>
  <si>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</si>
  <si>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</si>
  <si>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</si>
  <si>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</si>
  <si>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</si>
  <si>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</si>
  <si>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</si>
  <si>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</si>
  <si>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</si>
  <si>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</si>
  <si>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</si>
  <si>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</si>
  <si>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</si>
  <si>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</si>
  <si>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</si>
  <si>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</si>
  <si>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</si>
  <si>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</si>
  <si>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</si>
  <si>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</si>
  <si>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</si>
  <si>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</si>
  <si>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</si>
  <si>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</si>
  <si>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</si>
  <si>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</si>
  <si>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</si>
  <si>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</si>
  <si>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</si>
  <si>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</si>
  <si>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</si>
  <si>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</si>
  <si>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</si>
  <si>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</si>
  <si>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</si>
  <si>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</si>
  <si>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</si>
  <si>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</si>
  <si>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</si>
  <si>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</si>
  <si>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</si>
  <si>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</si>
  <si>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</si>
  <si>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</si>
  <si>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</si>
  <si>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</si>
  <si>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</si>
  <si>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</si>
  <si>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</si>
  <si>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</si>
  <si>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</si>
  <si>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</si>
  <si>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</si>
  <si>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</si>
  <si>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</si>
  <si>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</si>
  <si>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</si>
  <si>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</si>
  <si>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</si>
  <si>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</si>
  <si>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</si>
  <si>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</si>
  <si>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</si>
  <si>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</si>
  <si>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</si>
  <si>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</si>
  <si>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</si>
  <si>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</si>
  <si>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</si>
  <si>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</si>
  <si>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</si>
  <si>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</si>
  <si>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</si>
  <si>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</si>
  <si>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</si>
  <si>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</si>
  <si>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</si>
  <si>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</si>
  <si>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</si>
  <si>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</si>
  <si>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</si>
  <si>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</si>
  <si>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</si>
  <si>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</si>
  <si>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</si>
  <si>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</si>
  <si>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</si>
  <si>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</si>
  <si>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</si>
  <si>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</si>
  <si>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</si>
  <si>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</si>
  <si>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</si>
  <si>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</si>
  <si>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</si>
  <si>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</si>
  <si>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</si>
  <si>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</si>
  <si>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</si>
  <si>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</si>
  <si>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</si>
  <si>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</si>
  <si>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</si>
  <si>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</si>
  <si>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</si>
  <si>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</si>
  <si>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</si>
  <si>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</si>
  <si>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</si>
  <si>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</si>
  <si>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</si>
  <si>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</si>
  <si>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</si>
  <si>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</si>
  <si>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</si>
  <si>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</si>
  <si>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</si>
  <si>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</si>
  <si>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</si>
  <si>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</si>
  <si>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</si>
  <si>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</si>
  <si>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</si>
  <si>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</si>
  <si>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</si>
  <si>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</si>
  <si>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</si>
  <si>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</si>
  <si>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</si>
  <si>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</si>
  <si>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</si>
  <si>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</si>
  <si>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</si>
  <si>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</si>
  <si>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</si>
  <si>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</si>
  <si>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</si>
  <si>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</si>
  <si>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</si>
  <si>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</si>
  <si>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</si>
  <si>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</si>
  <si>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</si>
  <si>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</si>
  <si>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</si>
  <si>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</si>
  <si>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</si>
  <si>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</si>
  <si>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</si>
  <si>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</si>
  <si>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</si>
  <si>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</si>
  <si>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</si>
  <si>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</si>
  <si>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</si>
  <si>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</si>
  <si>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</si>
  <si>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</si>
  <si>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</si>
  <si>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</si>
  <si>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</si>
  <si>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</si>
  <si>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</si>
  <si>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</si>
  <si>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</si>
  <si>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</si>
  <si>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</si>
  <si>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</si>
  <si>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</si>
  <si>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</si>
  <si>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</si>
  <si>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</si>
  <si>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</si>
  <si>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</si>
  <si>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</si>
  <si>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</si>
  <si>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</si>
  <si>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</si>
  <si>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</si>
  <si>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</si>
  <si>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</si>
  <si>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</si>
  <si>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</si>
  <si>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</si>
  <si>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</si>
  <si>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</si>
  <si>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</si>
  <si>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</si>
  <si>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</si>
  <si>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</si>
  <si>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</si>
  <si>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</si>
  <si>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</si>
  <si>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</si>
  <si>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</si>
  <si>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</si>
  <si>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</si>
  <si>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</si>
  <si>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</si>
  <si>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</si>
  <si>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</si>
  <si>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</si>
  <si>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</si>
  <si>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</si>
  <si>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</si>
  <si>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</si>
  <si>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</si>
  <si>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</si>
  <si>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</si>
  <si>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</si>
  <si>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</si>
  <si>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</si>
  <si>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</si>
  <si>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</si>
  <si>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</si>
  <si>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</si>
  <si>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</si>
  <si>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</si>
  <si>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</si>
  <si>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</si>
  <si>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</si>
  <si>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</si>
  <si>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</si>
  <si>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</si>
  <si>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</si>
  <si>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</si>
  <si>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</si>
  <si>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</si>
  <si>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</si>
  <si>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</si>
  <si>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</si>
  <si>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</si>
  <si>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</si>
  <si>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</si>
  <si>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</si>
  <si>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</si>
  <si>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</si>
  <si>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</si>
  <si>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</si>
  <si>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</si>
  <si>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</si>
  <si>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</si>
  <si>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</si>
  <si>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</si>
  <si>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</si>
  <si>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</si>
  <si>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</si>
  <si>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</si>
  <si>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</si>
  <si>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</si>
  <si>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</si>
  <si>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</si>
  <si>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</si>
  <si>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</si>
  <si>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</si>
  <si>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</si>
  <si>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</si>
  <si>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</si>
  <si>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</si>
  <si>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</si>
  <si>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</si>
  <si>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</si>
  <si>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</si>
  <si>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</si>
  <si>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</si>
  <si>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</si>
  <si>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</si>
  <si>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</si>
  <si>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</si>
  <si>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</si>
  <si>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</si>
  <si>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</si>
  <si>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</si>
  <si>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</si>
  <si>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</si>
  <si>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</si>
  <si>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</si>
  <si>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</si>
  <si>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</si>
  <si>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</si>
  <si>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</si>
  <si>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</si>
  <si>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</si>
  <si>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</si>
  <si>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</si>
  <si>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</si>
  <si>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</si>
  <si>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</si>
  <si>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</si>
  <si>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</si>
  <si>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</si>
  <si>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</si>
  <si>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</si>
  <si>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</si>
  <si>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</si>
  <si>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</si>
  <si>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</si>
  <si>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</si>
  <si>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</si>
  <si>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</si>
  <si>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</si>
  <si>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</si>
  <si>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</si>
  <si>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</si>
  <si>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</si>
  <si>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</si>
  <si>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</si>
  <si>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</si>
  <si>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</si>
  <si>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</si>
  <si>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</si>
  <si>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</si>
  <si>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</si>
  <si>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</si>
  <si>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</si>
  <si>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</si>
  <si>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</si>
  <si>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</si>
  <si>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</si>
  <si>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</si>
  <si>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</si>
  <si>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</si>
  <si>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</si>
  <si>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</si>
  <si>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</si>
  <si>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</si>
  <si>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</si>
  <si>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</si>
  <si>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</si>
  <si>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</si>
  <si>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</si>
  <si>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</si>
  <si>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</si>
  <si>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</si>
  <si>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</si>
  <si>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</si>
  <si>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</si>
  <si>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</si>
  <si>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</si>
  <si>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</si>
  <si>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</si>
  <si>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</si>
  <si>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</si>
  <si>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</si>
  <si>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</si>
  <si>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</si>
  <si>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</si>
  <si>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</si>
  <si>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</si>
  <si>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</si>
  <si>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</si>
  <si>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</si>
  <si>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</si>
  <si>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</si>
  <si>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</si>
  <si>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</si>
  <si>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</si>
  <si>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</si>
  <si>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</si>
  <si>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</si>
  <si>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</si>
  <si>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</si>
  <si>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</si>
  <si>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</si>
  <si>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</si>
  <si>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</si>
  <si>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</si>
  <si>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</si>
  <si>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</si>
  <si>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</si>
  <si>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</si>
  <si>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</si>
  <si>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</si>
  <si>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</si>
  <si>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</si>
  <si>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</si>
  <si>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</si>
  <si>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</si>
  <si>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</si>
  <si>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</si>
  <si>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</si>
  <si>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</si>
  <si>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</si>
  <si>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</si>
  <si>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</si>
  <si>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</si>
  <si>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</si>
  <si>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</si>
  <si>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</si>
  <si>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</si>
  <si>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</si>
  <si>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</si>
  <si>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</si>
  <si>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</si>
  <si>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</si>
  <si>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</si>
  <si>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</si>
  <si>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</si>
  <si>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</si>
  <si>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</si>
  <si>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</si>
  <si>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</si>
  <si>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</si>
  <si>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</si>
  <si>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</si>
  <si>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</si>
  <si>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</si>
  <si>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</si>
  <si>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</si>
  <si>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</si>
  <si>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</si>
  <si>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</si>
  <si>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</si>
  <si>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</si>
  <si>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</si>
  <si>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</si>
  <si>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</si>
  <si>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</si>
  <si>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</si>
  <si>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</si>
  <si>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</si>
  <si>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</si>
  <si>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</si>
  <si>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</si>
  <si>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</si>
  <si>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</si>
  <si>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</si>
  <si>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</si>
  <si>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</si>
  <si>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</si>
  <si>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</si>
  <si>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</si>
  <si>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</si>
  <si>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</si>
  <si>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</si>
  <si>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</si>
  <si>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</si>
  <si>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</si>
  <si>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</si>
  <si>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</si>
  <si>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</si>
  <si>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</si>
  <si>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</si>
  <si>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</si>
  <si>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</si>
  <si>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</si>
  <si>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</si>
  <si>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</si>
  <si>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</si>
  <si>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</si>
  <si>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</si>
  <si>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</si>
  <si>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</si>
  <si>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</si>
  <si>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</si>
  <si>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</si>
  <si>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</si>
  <si>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</si>
  <si>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</si>
  <si>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</si>
  <si>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</si>
  <si>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</si>
  <si>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</si>
  <si>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</si>
  <si>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</si>
  <si>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</si>
  <si>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</si>
  <si>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</si>
  <si>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</si>
  <si>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</si>
  <si>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</si>
  <si>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</si>
  <si>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</si>
  <si>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</si>
  <si>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</si>
  <si>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</si>
  <si>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</si>
  <si>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</si>
  <si>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</si>
  <si>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</si>
  <si>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</si>
  <si>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</si>
  <si>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</si>
  <si>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</si>
  <si>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</si>
  <si>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</si>
  <si>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</si>
  <si>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</si>
  <si>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</si>
  <si>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</si>
  <si>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</si>
  <si>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</si>
  <si>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</si>
  <si>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</si>
  <si>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</si>
  <si>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</si>
  <si>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</si>
  <si>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</si>
  <si>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</si>
  <si>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</si>
  <si>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</si>
  <si>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</si>
  <si>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</si>
  <si>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</si>
  <si>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</si>
  <si>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</si>
  <si>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</si>
  <si>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</si>
  <si>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</si>
  <si>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</si>
  <si>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</si>
  <si>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</si>
  <si>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</si>
  <si>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</si>
  <si>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</si>
  <si>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</si>
  <si>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</si>
  <si>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</si>
  <si>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</si>
  <si>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</si>
  <si>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</si>
  <si>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</si>
  <si>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</si>
  <si>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</si>
  <si>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</si>
  <si>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</si>
  <si>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</si>
  <si>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</si>
  <si>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</si>
  <si>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</si>
  <si>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</si>
  <si>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</si>
  <si>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</si>
  <si>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</si>
  <si>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</si>
  <si>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</si>
  <si>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</si>
  <si>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</si>
  <si>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</si>
  <si>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</si>
  <si>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</si>
  <si>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</si>
  <si>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</si>
  <si>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</si>
  <si>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</si>
  <si>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</si>
  <si>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</si>
  <si>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</si>
  <si>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</si>
  <si>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</si>
  <si>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</si>
  <si>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</si>
  <si>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</si>
  <si>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</si>
  <si>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</si>
  <si>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</si>
  <si>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</si>
  <si>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</si>
  <si>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</si>
  <si>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</si>
  <si>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</si>
  <si>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</si>
  <si>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</si>
  <si>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</si>
  <si>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</si>
  <si>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</si>
  <si>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</si>
  <si>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</si>
  <si>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</si>
  <si>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</si>
  <si>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</si>
  <si>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</si>
  <si>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</si>
  <si>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</si>
  <si>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</si>
  <si>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</si>
  <si>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</si>
  <si>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</si>
  <si>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</si>
  <si>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</si>
  <si>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</si>
  <si>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</si>
  <si>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</si>
  <si>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</si>
  <si>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</si>
  <si>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</si>
  <si>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</si>
  <si>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</si>
  <si>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</si>
  <si>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</si>
  <si>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</si>
  <si>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</si>
  <si>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</si>
  <si>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</si>
  <si>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</si>
  <si>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</si>
  <si>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</si>
  <si>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</si>
  <si>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</si>
  <si>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</si>
  <si>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</si>
  <si>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</si>
  <si>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</si>
  <si>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</si>
  <si>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</si>
  <si>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</si>
  <si>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</si>
  <si>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</si>
  <si>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</si>
  <si>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</si>
  <si>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</si>
  <si>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</si>
  <si>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</si>
  <si>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</si>
  <si>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</si>
  <si>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</si>
  <si>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</si>
  <si>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</si>
  <si>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</si>
  <si>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</si>
  <si>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</si>
  <si>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</si>
  <si>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</si>
  <si>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</si>
  <si>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</si>
  <si>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</si>
  <si>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</si>
  <si>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</si>
  <si>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</si>
  <si>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</si>
  <si>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</si>
  <si>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</si>
  <si>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</si>
  <si>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</si>
  <si>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</si>
  <si>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</si>
  <si>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</si>
  <si>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</si>
  <si>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</si>
  <si>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</si>
  <si>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</si>
  <si>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</si>
  <si>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</si>
  <si>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</si>
  <si>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</si>
  <si>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</si>
  <si>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</si>
  <si>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</si>
  <si>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</si>
  <si>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</si>
  <si>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</si>
  <si>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</si>
  <si>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</si>
  <si>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</si>
  <si>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</si>
  <si>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</si>
  <si>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</si>
  <si>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</si>
  <si>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</si>
  <si>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</si>
  <si>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</si>
  <si>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</si>
  <si>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</si>
  <si>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</si>
  <si>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</si>
  <si>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</si>
  <si>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</si>
  <si>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</si>
  <si>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</si>
  <si>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</si>
  <si>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</si>
  <si>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</si>
  <si>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</si>
  <si>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</si>
  <si>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</si>
  <si>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</si>
  <si>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</si>
  <si>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</si>
  <si>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</si>
  <si>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</si>
  <si>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</si>
  <si>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</si>
  <si>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</si>
  <si>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</si>
  <si>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</si>
  <si>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</si>
  <si>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</si>
  <si>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</si>
  <si>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</si>
  <si>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</si>
  <si>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</si>
  <si>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</si>
  <si>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</si>
  <si>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</si>
  <si>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</si>
  <si>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</si>
  <si>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</si>
  <si>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</si>
  <si>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</si>
  <si>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</si>
  <si>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</si>
  <si>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</si>
  <si>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</si>
  <si>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</si>
  <si>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</si>
  <si>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</si>
  <si>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</si>
  <si>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</si>
  <si>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</si>
  <si>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</si>
  <si>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</si>
  <si>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</si>
  <si>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</si>
  <si>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</si>
  <si>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</si>
  <si>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</si>
  <si>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</si>
  <si>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</si>
  <si>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</si>
  <si>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</si>
  <si>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</si>
  <si>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</si>
  <si>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</si>
  <si>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</si>
  <si>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</si>
  <si>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</si>
  <si>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</si>
  <si>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</si>
  <si>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</si>
  <si>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</si>
  <si>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</si>
  <si>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</si>
  <si>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</si>
  <si>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</si>
  <si>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</si>
  <si>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</si>
  <si>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</si>
  <si>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</si>
  <si>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</si>
  <si>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</si>
  <si>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</si>
  <si>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</si>
  <si>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</si>
  <si>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</si>
  <si>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</si>
  <si>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</si>
  <si>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</si>
  <si>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</si>
  <si>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</si>
  <si>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</si>
  <si>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</si>
  <si>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</si>
  <si>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</si>
  <si>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</si>
  <si>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</si>
  <si>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</si>
  <si>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</si>
  <si>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</si>
  <si>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</si>
  <si>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</si>
  <si>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</si>
  <si>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</si>
  <si>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</si>
  <si>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</si>
  <si>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</si>
  <si>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</si>
  <si>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</si>
  <si>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</si>
  <si>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</si>
  <si>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</si>
  <si>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</si>
  <si>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</si>
  <si>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</si>
  <si>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</si>
  <si>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</si>
  <si>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</si>
  <si>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</si>
  <si>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</si>
  <si>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</si>
  <si>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</si>
  <si>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</si>
  <si>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</si>
  <si>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</si>
  <si>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</si>
  <si>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</si>
  <si>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</si>
  <si>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</si>
  <si>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</si>
  <si>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</si>
  <si>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</si>
  <si>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</si>
  <si>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</si>
  <si>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</si>
  <si>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</si>
  <si>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</si>
  <si>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</si>
  <si>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</si>
  <si>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</si>
  <si>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</si>
  <si>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</si>
  <si>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</si>
  <si>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</si>
  <si>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</si>
  <si>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</si>
  <si>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</si>
  <si>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</si>
  <si>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</si>
  <si>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</si>
  <si>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</si>
  <si>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</si>
  <si>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</si>
  <si>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</si>
  <si>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</si>
  <si>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</si>
  <si>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</si>
  <si>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</si>
  <si>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</si>
  <si>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</si>
  <si>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</si>
  <si>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</si>
  <si>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</si>
  <si>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</si>
  <si>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</si>
  <si>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</si>
  <si>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</si>
  <si>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</si>
  <si>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</si>
  <si>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</si>
  <si>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</si>
  <si>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</si>
  <si>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</si>
  <si>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</si>
  <si>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</si>
  <si>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</si>
  <si>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</si>
  <si>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</si>
  <si>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</si>
  <si>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</si>
  <si>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</si>
  <si>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</si>
  <si>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</si>
  <si>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</si>
  <si>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</si>
  <si>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</si>
  <si>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</si>
  <si>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</si>
  <si>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</si>
  <si>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</si>
  <si>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</si>
  <si>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</si>
  <si>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</si>
  <si>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</si>
  <si>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</si>
  <si>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</si>
  <si>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</si>
  <si>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</si>
  <si>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</si>
  <si>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</si>
  <si>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</si>
  <si>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</si>
  <si>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</si>
  <si>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</si>
  <si>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</si>
  <si>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</si>
  <si>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</si>
  <si>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</si>
  <si>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</si>
  <si>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</si>
  <si>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</si>
  <si>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</si>
  <si>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</si>
  <si>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</si>
  <si>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</si>
  <si>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</si>
  <si>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</si>
  <si>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</si>
  <si>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</si>
  <si>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</si>
  <si>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</si>
  <si>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</si>
  <si>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</si>
  <si>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</si>
  <si>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</si>
  <si>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</si>
  <si>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</si>
  <si>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</si>
  <si>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</si>
  <si>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</si>
  <si>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</si>
  <si>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</si>
  <si>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</si>
  <si>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</si>
  <si>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</si>
  <si>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</si>
  <si>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</si>
  <si>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</si>
  <si>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</si>
  <si>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</si>
  <si>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</si>
  <si>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</si>
  <si>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</si>
  <si>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</si>
  <si>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</si>
  <si>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</si>
  <si>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</si>
  <si>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</si>
  <si>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</si>
  <si>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</si>
  <si>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</si>
  <si>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</si>
  <si>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</si>
  <si>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</si>
  <si>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</si>
  <si>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</si>
  <si>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</si>
  <si>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</si>
  <si>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</si>
  <si>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</si>
  <si>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</si>
  <si>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</si>
  <si>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</si>
  <si>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</si>
  <si>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</si>
  <si>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</si>
  <si>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</si>
  <si>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</si>
  <si>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</si>
  <si>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</si>
  <si>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</si>
  <si>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</si>
  <si>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</si>
  <si>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</si>
  <si>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</si>
  <si>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</si>
  <si>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</si>
  <si>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</si>
  <si>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</si>
  <si>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</si>
  <si>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</si>
  <si>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</si>
  <si>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</si>
  <si>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</si>
  <si>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</si>
  <si>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</si>
  <si>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</si>
  <si>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</si>
  <si>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</si>
  <si>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</si>
  <si>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</si>
  <si>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</si>
  <si>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</si>
  <si>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</si>
  <si>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</si>
  <si>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</si>
  <si>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</si>
  <si>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</si>
  <si>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</si>
  <si>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</si>
  <si>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</si>
  <si>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</si>
  <si>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</si>
  <si>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</si>
  <si>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</si>
  <si>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</si>
  <si>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</si>
  <si>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</si>
  <si>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</si>
  <si>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</si>
  <si>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</si>
  <si>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</si>
  <si>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</si>
  <si>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</si>
  <si>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</si>
  <si>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</si>
  <si>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</si>
  <si>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</si>
  <si>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</si>
  <si>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</si>
  <si>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</si>
  <si>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</si>
  <si>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</si>
  <si>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</si>
  <si>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</si>
  <si>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</si>
  <si>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</si>
  <si>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</si>
  <si>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</si>
  <si>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</si>
  <si>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</si>
  <si>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</si>
  <si>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</si>
  <si>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</si>
  <si>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</si>
  <si>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</si>
  <si>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</si>
  <si>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</si>
  <si>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</si>
  <si>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</si>
  <si>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</si>
  <si>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</si>
  <si>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</si>
  <si>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</si>
  <si>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</si>
  <si>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</si>
  <si>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</si>
  <si>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</si>
  <si>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</si>
  <si>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</si>
  <si>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</si>
  <si>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</si>
  <si>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</si>
  <si>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</si>
  <si>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</si>
  <si>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</si>
  <si>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</si>
  <si>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</si>
  <si>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</si>
  <si>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</si>
  <si>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</si>
  <si>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</si>
  <si>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</si>
  <si>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</si>
  <si>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</si>
  <si>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</si>
  <si>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</si>
  <si>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</si>
  <si>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</si>
  <si>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</si>
  <si>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</si>
  <si>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</si>
  <si>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</si>
  <si>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</si>
  <si>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</si>
  <si>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</si>
  <si>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</si>
  <si>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</si>
  <si>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</si>
  <si>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</si>
  <si>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</si>
  <si>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</si>
  <si>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</si>
  <si>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</si>
  <si>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</si>
  <si>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</si>
  <si>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</si>
  <si>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</si>
  <si>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</si>
  <si>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</si>
  <si>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</si>
  <si>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</si>
  <si>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</si>
  <si>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</si>
  <si>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</si>
  <si>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</si>
  <si>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</si>
  <si>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</si>
  <si>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</si>
  <si>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</si>
  <si>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</si>
  <si>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</si>
  <si>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</si>
  <si>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</si>
  <si>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</si>
  <si>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</si>
  <si>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</si>
  <si>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</si>
  <si>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</si>
  <si>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</si>
  <si>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</si>
  <si>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</si>
  <si>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</si>
  <si>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</si>
  <si>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</si>
  <si>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</si>
  <si>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</si>
  <si>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</si>
  <si>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</si>
  <si>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</si>
  <si>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</si>
  <si>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</si>
  <si>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</si>
  <si>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</si>
  <si>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</si>
  <si>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</si>
  <si>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</si>
  <si>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</si>
  <si>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</si>
  <si>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</si>
  <si>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</si>
  <si>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</si>
  <si>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</si>
  <si>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</si>
  <si>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</si>
  <si>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</si>
  <si>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</si>
  <si>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</si>
  <si>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</si>
  <si>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</si>
  <si>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</si>
  <si>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</si>
  <si>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</si>
  <si>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</si>
  <si>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</si>
  <si>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</si>
  <si>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</si>
  <si>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</si>
  <si>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</si>
  <si>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</si>
  <si>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</si>
  <si>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</si>
  <si>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</si>
  <si>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</si>
  <si>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</si>
  <si>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</si>
  <si>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</si>
  <si>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</si>
  <si>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</si>
  <si>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</si>
  <si>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</si>
  <si>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</si>
  <si>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</si>
  <si>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</si>
  <si>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</si>
  <si>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</si>
  <si>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</si>
  <si>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</si>
  <si>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</si>
  <si>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</si>
  <si>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</si>
  <si>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</si>
  <si>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</si>
  <si>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</si>
  <si>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</si>
  <si>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</si>
  <si>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</si>
  <si>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</si>
  <si>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</si>
  <si>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</si>
  <si>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</si>
  <si>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</si>
  <si>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</si>
  <si>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</si>
  <si>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</si>
  <si>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</si>
  <si>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</si>
  <si>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</si>
  <si>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</si>
  <si>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</si>
  <si>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</si>
  <si>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</si>
  <si>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</si>
  <si>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</si>
  <si>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</si>
  <si>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</si>
  <si>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</si>
  <si>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</si>
  <si>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</si>
  <si>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</si>
  <si>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</si>
  <si>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</si>
  <si>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</si>
  <si>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</si>
  <si>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</si>
  <si>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</si>
  <si>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</si>
  <si>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</si>
  <si>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</si>
  <si>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</si>
  <si>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</si>
  <si>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</si>
  <si>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</si>
  <si>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</si>
  <si>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</si>
  <si>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</si>
  <si>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</si>
  <si>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</si>
  <si>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</si>
  <si>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</si>
  <si>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</si>
  <si>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</si>
  <si>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</si>
  <si>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</si>
  <si>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</si>
  <si>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</si>
  <si>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</si>
  <si>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</si>
  <si>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</si>
  <si>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</si>
  <si>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</si>
  <si>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</si>
  <si>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</si>
  <si>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</si>
  <si>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</si>
  <si>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</si>
  <si>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</si>
  <si>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</si>
  <si>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</si>
  <si>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</si>
  <si>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</si>
  <si>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</si>
  <si>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</si>
  <si>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</si>
  <si>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</si>
  <si>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</si>
  <si>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</si>
  <si>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</si>
  <si>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</si>
  <si>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</si>
  <si>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</si>
  <si>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</si>
  <si>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</si>
  <si>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</si>
  <si>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</si>
  <si>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</si>
  <si>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</si>
  <si>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</si>
  <si>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</si>
  <si>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</si>
  <si>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</si>
  <si>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</si>
  <si>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</si>
  <si>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</si>
  <si>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</si>
  <si>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</si>
  <si>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</si>
  <si>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</si>
  <si>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</si>
  <si>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</si>
  <si>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</si>
  <si>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</si>
  <si>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</si>
  <si>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</si>
  <si>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</si>
  <si>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</si>
  <si>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</si>
  <si>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</si>
  <si>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</si>
  <si>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</si>
  <si>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</si>
  <si>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</si>
  <si>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</si>
  <si>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</si>
  <si>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</si>
  <si>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</si>
  <si>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</si>
  <si>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</si>
  <si>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</si>
  <si>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</si>
  <si>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</si>
  <si>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</si>
  <si>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</si>
  <si>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</si>
  <si>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</si>
  <si>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</si>
  <si>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</si>
  <si>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</si>
  <si>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</si>
  <si>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</si>
  <si>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</si>
  <si>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</si>
  <si>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</si>
  <si>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</si>
  <si>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</si>
  <si>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</si>
  <si>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</si>
  <si>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</si>
  <si>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</si>
  <si>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</si>
  <si>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</si>
  <si>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</si>
  <si>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</si>
  <si>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</si>
  <si>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</si>
  <si>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</si>
  <si>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</si>
  <si>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</si>
  <si>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</si>
  <si>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</si>
  <si>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</si>
  <si>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</si>
  <si>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</si>
  <si>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</si>
  <si>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</si>
  <si>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</si>
  <si>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</si>
  <si>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</si>
  <si>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</si>
  <si>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</si>
  <si>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</si>
  <si>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</si>
  <si>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</si>
  <si>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</si>
  <si>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</si>
  <si>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</si>
  <si>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</si>
  <si>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</si>
  <si>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</si>
  <si>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</si>
  <si>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</si>
  <si>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</si>
  <si>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</si>
  <si>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</si>
  <si>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</si>
  <si>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</si>
  <si>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</si>
  <si>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</si>
  <si>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</si>
  <si>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</si>
  <si>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</si>
  <si>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</si>
  <si>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</si>
  <si>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</si>
  <si>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</si>
  <si>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</si>
  <si>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</si>
  <si>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</si>
  <si>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</si>
  <si>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</si>
  <si>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</si>
  <si>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</si>
  <si>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</si>
  <si>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</si>
  <si>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</si>
  <si>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</si>
  <si>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</si>
  <si>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</si>
  <si>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</si>
  <si>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</si>
  <si>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</si>
  <si>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</si>
  <si>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</si>
  <si>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</si>
  <si>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</si>
  <si>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</si>
  <si>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</si>
  <si>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</si>
  <si>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</si>
  <si>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</si>
  <si>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</si>
  <si>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</si>
  <si>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</si>
  <si>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</si>
  <si>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</si>
  <si>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</si>
  <si>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</si>
  <si>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</si>
  <si>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</si>
  <si>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</si>
  <si>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</si>
  <si>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</si>
  <si>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</si>
  <si>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</si>
  <si>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</si>
  <si>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</si>
  <si>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</si>
  <si>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</si>
  <si>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</si>
  <si>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</si>
  <si>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</si>
  <si>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</si>
  <si>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</si>
  <si>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</si>
  <si>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</si>
  <si>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</si>
  <si>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</si>
  <si>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</si>
  <si>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</si>
  <si>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</si>
  <si>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</si>
  <si>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</si>
  <si>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</si>
  <si>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</si>
  <si>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</si>
  <si>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</si>
  <si>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</si>
  <si>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</si>
  <si>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</si>
  <si>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</si>
  <si>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</si>
  <si>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</si>
  <si>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</si>
  <si>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</si>
  <si>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</si>
  <si>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</si>
  <si>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</si>
  <si>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</si>
  <si>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</si>
  <si>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</si>
  <si>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</si>
  <si>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</si>
  <si>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</si>
  <si>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</si>
  <si>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</si>
  <si>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</si>
  <si>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</si>
  <si>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</si>
  <si>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</si>
  <si>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</si>
  <si>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</si>
  <si>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</si>
  <si>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</si>
  <si>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</si>
  <si>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</si>
  <si>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</si>
  <si>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</si>
  <si>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</si>
  <si>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</si>
  <si>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</si>
  <si>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</si>
  <si>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</si>
  <si>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</si>
  <si>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</si>
  <si>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</si>
  <si>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</si>
  <si>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</si>
  <si>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</si>
  <si>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</si>
  <si>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</si>
  <si>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</si>
  <si>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</si>
  <si>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</si>
  <si>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</si>
  <si>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</si>
  <si>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</si>
  <si>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</si>
  <si>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</si>
  <si>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</si>
  <si>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</si>
  <si>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</si>
  <si>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</si>
  <si>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</si>
  <si>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</si>
  <si>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</si>
  <si>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</si>
  <si>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</si>
  <si>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</si>
  <si>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</si>
  <si>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</si>
  <si>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</si>
  <si>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</si>
  <si>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</si>
  <si>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</si>
  <si>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</si>
  <si>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</si>
  <si>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</si>
  <si>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</si>
  <si>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</si>
  <si>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</si>
  <si>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</si>
  <si>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</si>
  <si>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</si>
  <si>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</si>
  <si>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</si>
  <si>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</si>
  <si>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</si>
  <si>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</si>
  <si>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</si>
  <si>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</si>
  <si>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</si>
  <si>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</si>
  <si>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</si>
  <si>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</si>
  <si>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</si>
  <si>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</si>
  <si>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</si>
  <si>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</si>
  <si>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</si>
  <si>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</si>
  <si>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</si>
  <si>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</si>
  <si>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</si>
  <si>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</si>
  <si>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</si>
  <si>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</si>
  <si>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</si>
  <si>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</si>
  <si>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</si>
  <si>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</si>
  <si>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</si>
  <si>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</si>
  <si>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</si>
  <si>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</si>
  <si>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</si>
  <si>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</si>
  <si>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</si>
  <si>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</si>
  <si>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</si>
  <si>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</si>
  <si>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</si>
  <si>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</si>
  <si>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</si>
  <si>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</si>
  <si>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</si>
  <si>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</si>
  <si>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</si>
  <si>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</si>
  <si>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</si>
  <si>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</si>
  <si>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</si>
  <si>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</si>
  <si>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</si>
  <si>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</si>
  <si>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</si>
  <si>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</si>
  <si>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</si>
  <si>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</si>
  <si>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</si>
  <si>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</si>
  <si>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</si>
  <si>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</si>
  <si>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</si>
  <si>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</si>
  <si>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</si>
  <si>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</si>
  <si>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</si>
  <si>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</si>
  <si>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</si>
  <si>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</si>
  <si>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</si>
  <si>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</si>
  <si>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</si>
  <si>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</si>
  <si>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</si>
  <si>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</si>
  <si>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</si>
  <si>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</si>
  <si>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</si>
  <si>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</si>
  <si>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</si>
  <si>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</si>
  <si>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</si>
  <si>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</si>
  <si>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</si>
  <si>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</si>
  <si>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</si>
  <si>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</si>
  <si>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</si>
  <si>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</si>
  <si>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</si>
  <si>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</si>
  <si>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</si>
  <si>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</si>
  <si>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</si>
  <si>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</si>
  <si>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</si>
  <si>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</si>
  <si>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</si>
  <si>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</si>
  <si>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</si>
  <si>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</si>
  <si>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</si>
  <si>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</si>
  <si>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</si>
  <si>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</si>
  <si>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</si>
  <si>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</si>
  <si>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</si>
  <si>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</si>
  <si>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</si>
  <si>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</si>
  <si>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</si>
  <si>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</si>
  <si>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</si>
  <si>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</si>
  <si>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</si>
  <si>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</si>
  <si>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</si>
  <si>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</si>
  <si>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</si>
  <si>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</si>
  <si>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</si>
  <si>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</si>
  <si>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</si>
  <si>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</si>
  <si>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</si>
  <si>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</si>
  <si>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</si>
  <si>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</si>
  <si>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</si>
  <si>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</si>
  <si>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</si>
  <si>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</si>
  <si>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</si>
  <si>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</si>
  <si>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</si>
  <si>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</si>
  <si>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</si>
  <si>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</si>
  <si>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</si>
  <si>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</si>
  <si>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</si>
  <si>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</si>
  <si>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</si>
  <si>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</si>
  <si>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</si>
  <si>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</si>
  <si>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</si>
  <si>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</si>
  <si>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</si>
  <si>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</si>
  <si>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</si>
  <si>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</si>
  <si>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</si>
  <si>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</si>
  <si>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</si>
  <si>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</si>
  <si>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</si>
  <si>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</si>
  <si>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</si>
  <si>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</si>
  <si>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</si>
  <si>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</si>
  <si>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</si>
  <si>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</si>
  <si>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</si>
  <si>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</si>
  <si>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</si>
  <si>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</si>
  <si>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</si>
  <si>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</si>
  <si>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</si>
  <si>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</si>
  <si>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</si>
  <si>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</si>
  <si>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</si>
  <si>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</si>
  <si>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</si>
  <si>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</si>
  <si>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</si>
  <si>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</si>
  <si>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</si>
  <si>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</si>
  <si>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</si>
  <si>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</si>
  <si>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</si>
  <si>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</si>
  <si>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</si>
  <si>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</si>
  <si>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</si>
  <si>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</si>
  <si>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</si>
  <si>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</si>
  <si>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</si>
  <si>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</si>
  <si>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</si>
  <si>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</si>
  <si>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</si>
  <si>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</si>
  <si>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</si>
  <si>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</si>
  <si>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</si>
  <si>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</si>
  <si>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</si>
  <si>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</si>
  <si>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</si>
  <si>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</si>
  <si>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</si>
  <si>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</si>
  <si>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</si>
  <si>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</si>
  <si>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</si>
  <si>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</si>
  <si>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</si>
  <si>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</si>
  <si>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</si>
  <si>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</si>
  <si>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</si>
  <si>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</si>
  <si>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</si>
  <si>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</si>
  <si>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</si>
  <si>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</si>
  <si>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</si>
  <si>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</si>
  <si>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</si>
  <si>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</si>
  <si>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</si>
  <si>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</si>
  <si>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</si>
  <si>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</si>
  <si>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</si>
  <si>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</si>
  <si>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</si>
  <si>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</si>
  <si>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</si>
  <si>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</si>
  <si>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</si>
  <si>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</si>
  <si>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</si>
  <si>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</si>
  <si>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</si>
  <si>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</si>
  <si>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</si>
  <si>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</si>
  <si>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</si>
  <si>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</si>
  <si>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</si>
  <si>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</si>
  <si>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</si>
  <si>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</si>
  <si>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</si>
  <si>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</si>
  <si>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</si>
  <si>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</si>
  <si>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</si>
  <si>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</si>
  <si>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</si>
  <si>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</si>
  <si>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</si>
  <si>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</si>
  <si>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</si>
  <si>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</si>
  <si>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</si>
  <si>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</si>
  <si>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</si>
  <si>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</si>
  <si>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</si>
  <si>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</si>
  <si>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</si>
  <si>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</si>
  <si>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</si>
  <si>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</si>
  <si>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</si>
  <si>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</si>
  <si>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</si>
  <si>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</si>
  <si>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</si>
  <si>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</si>
  <si>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</si>
  <si>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</si>
  <si>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</si>
  <si>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</si>
  <si>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</si>
  <si>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</si>
  <si>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</si>
  <si>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</si>
  <si>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</si>
  <si>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</si>
  <si>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</si>
  <si>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</si>
  <si>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</si>
  <si>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</si>
  <si>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</si>
  <si>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</si>
  <si>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</si>
  <si>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</si>
  <si>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</si>
  <si>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</si>
  <si>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</si>
  <si>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</si>
  <si>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</si>
  <si>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</si>
  <si>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</si>
  <si>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</si>
  <si>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</si>
  <si>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</si>
  <si>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</si>
  <si>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</si>
  <si>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</si>
  <si>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</si>
  <si>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</si>
  <si>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</si>
  <si>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</si>
  <si>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</si>
  <si>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</si>
  <si>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</si>
  <si>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</si>
  <si>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</si>
  <si>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</si>
  <si>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</si>
  <si>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</si>
  <si>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</si>
  <si>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</si>
  <si>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</si>
  <si>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</si>
  <si>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</si>
  <si>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</si>
  <si>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</si>
  <si>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</si>
  <si>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</si>
  <si>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</si>
  <si>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</si>
  <si>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</si>
  <si>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</si>
  <si>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</si>
  <si>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</si>
  <si>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</si>
  <si>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</si>
  <si>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</si>
  <si>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</si>
  <si>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</si>
  <si>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</si>
  <si>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</si>
  <si>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</si>
  <si>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</si>
  <si>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</si>
  <si>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</si>
  <si>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</si>
  <si>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</si>
  <si>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</si>
  <si>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</si>
  <si>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</si>
  <si>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</si>
  <si>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</si>
  <si>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</si>
  <si>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</si>
  <si>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</si>
  <si>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</si>
  <si>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</si>
  <si>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</si>
  <si>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</si>
  <si>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</si>
  <si>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</si>
  <si>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</si>
  <si>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</si>
  <si>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</si>
  <si>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</si>
  <si>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</si>
  <si>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</si>
  <si>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</si>
  <si>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</si>
  <si>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</si>
  <si>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</si>
  <si>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</si>
  <si>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</si>
  <si>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</si>
  <si>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</si>
  <si>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</si>
  <si>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</si>
  <si>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</si>
  <si>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</si>
  <si>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</si>
  <si>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</si>
  <si>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</si>
  <si>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</si>
  <si>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</si>
  <si>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</si>
  <si>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</si>
  <si>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</si>
  <si>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</si>
  <si>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</si>
  <si>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</si>
  <si>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</si>
  <si>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</si>
  <si>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</si>
  <si>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</si>
  <si>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</si>
  <si>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</si>
  <si>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</si>
  <si>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</si>
  <si>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</si>
  <si>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</si>
  <si>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</si>
  <si>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</si>
  <si>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</si>
  <si>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</si>
  <si>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</si>
  <si>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</si>
  <si>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</si>
  <si>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</si>
  <si>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</si>
  <si>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</si>
  <si>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</si>
  <si>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</si>
  <si>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</si>
  <si>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</si>
  <si>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</si>
  <si>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</si>
  <si>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</si>
  <si>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</si>
  <si>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</si>
  <si>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</si>
  <si>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</si>
  <si>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</si>
  <si>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</si>
  <si>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</si>
  <si>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</si>
  <si>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</si>
  <si>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</si>
  <si>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</si>
  <si>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</si>
  <si>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</si>
  <si>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</si>
  <si>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</si>
  <si>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</si>
  <si>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</si>
  <si>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</si>
  <si>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</si>
  <si>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</si>
  <si>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</si>
  <si>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</si>
  <si>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</si>
  <si>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</si>
  <si>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</si>
  <si>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</si>
  <si>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</si>
  <si>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</si>
  <si>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</si>
  <si>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</si>
  <si>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</si>
  <si>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</si>
  <si>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</si>
  <si>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</si>
  <si>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</si>
  <si>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</si>
  <si>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</si>
  <si>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</si>
  <si>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</si>
  <si>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</si>
  <si>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</si>
  <si>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</si>
  <si>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</si>
  <si>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</si>
  <si>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</si>
  <si>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</si>
  <si>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</si>
  <si>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</si>
  <si>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</si>
  <si>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</si>
  <si>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</si>
  <si>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</si>
  <si>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</si>
  <si>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</si>
  <si>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</si>
  <si>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</si>
  <si>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</si>
  <si>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</si>
  <si>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</si>
  <si>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</si>
  <si>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</si>
  <si>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</si>
  <si>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</si>
  <si>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</si>
  <si>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</si>
  <si>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</si>
  <si>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</si>
  <si>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</si>
  <si>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</si>
  <si>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</si>
  <si>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</si>
  <si>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</si>
  <si>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</si>
  <si>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</si>
  <si>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</si>
  <si>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</si>
  <si>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</si>
  <si>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</si>
  <si>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</si>
  <si>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</si>
  <si>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</si>
  <si>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</si>
  <si>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</si>
  <si>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</si>
  <si>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</si>
  <si>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</si>
  <si>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</si>
  <si>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</si>
  <si>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</si>
  <si>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</si>
  <si>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</si>
  <si>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</si>
  <si>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</si>
  <si>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</si>
  <si>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</si>
  <si>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</si>
  <si>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</si>
  <si>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</si>
  <si>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</si>
  <si>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</si>
  <si>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</si>
  <si>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</si>
  <si>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</si>
  <si>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</si>
  <si>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</si>
  <si>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</si>
  <si>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</si>
  <si>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</si>
  <si>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</si>
  <si>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</si>
  <si>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</si>
  <si>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</si>
  <si>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</si>
  <si>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</si>
  <si>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</si>
  <si>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</si>
  <si>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</si>
  <si>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</si>
  <si>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</si>
  <si>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</si>
  <si>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</si>
  <si>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</si>
  <si>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</si>
  <si>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</si>
  <si>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</si>
  <si>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</si>
  <si>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</si>
  <si>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</si>
  <si>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</si>
  <si>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</si>
  <si>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</si>
  <si>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</si>
  <si>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</si>
  <si>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</si>
  <si>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</si>
  <si>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</si>
  <si>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</si>
  <si>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</si>
  <si>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</si>
  <si>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</si>
  <si>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</si>
  <si>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</si>
  <si>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</si>
  <si>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</si>
  <si>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</si>
  <si>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</si>
  <si>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</si>
  <si>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</si>
  <si>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</si>
  <si>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</si>
  <si>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</si>
  <si>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</si>
  <si>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</si>
  <si>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</si>
  <si>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</si>
  <si>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</si>
  <si>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</si>
  <si>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</si>
  <si>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</si>
  <si>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</si>
  <si>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</si>
  <si>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</si>
  <si>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</si>
  <si>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</si>
  <si>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</si>
  <si>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</si>
  <si>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</si>
  <si>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</si>
  <si>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</si>
  <si>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</si>
  <si>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</si>
  <si>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</si>
  <si>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</si>
  <si>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</si>
  <si>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</si>
  <si>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</si>
  <si>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</si>
  <si>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</si>
  <si>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</si>
  <si>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</si>
  <si>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</si>
  <si>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</si>
  <si>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</si>
  <si>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</si>
  <si>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</si>
  <si>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</si>
  <si>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</si>
  <si>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</si>
  <si>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</si>
  <si>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</si>
  <si>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</si>
  <si>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</si>
  <si>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</si>
  <si>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</si>
  <si>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</si>
  <si>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</si>
  <si>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</si>
  <si>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</si>
  <si>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</si>
  <si>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</si>
  <si>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</si>
  <si>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</si>
  <si>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</si>
  <si>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</si>
  <si>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</si>
  <si>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</si>
  <si>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</si>
  <si>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</si>
  <si>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</si>
  <si>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</si>
  <si>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</si>
  <si>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</si>
  <si>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</si>
  <si>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</si>
  <si>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</si>
  <si>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</si>
  <si>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</si>
  <si>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</si>
  <si>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</si>
  <si>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</si>
  <si>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</si>
  <si>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</si>
  <si>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</si>
  <si>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</si>
  <si>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</si>
  <si>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</si>
  <si>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</si>
  <si>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</si>
  <si>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</si>
  <si>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</si>
  <si>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</si>
  <si>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</si>
  <si>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</si>
  <si>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</si>
  <si>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</si>
  <si>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</si>
  <si>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</si>
  <si>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</si>
  <si>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</si>
  <si>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</si>
  <si>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</si>
  <si>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</si>
  <si>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</si>
  <si>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</si>
  <si>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</si>
  <si>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</si>
  <si>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</si>
  <si>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</si>
  <si>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</si>
  <si>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</si>
  <si>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</si>
  <si>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</si>
  <si>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</si>
  <si>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</si>
  <si>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</si>
  <si>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</si>
  <si>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</si>
  <si>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</si>
  <si>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</si>
  <si>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</si>
  <si>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</si>
  <si>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</si>
  <si>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</si>
  <si>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</si>
  <si>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</si>
  <si>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</si>
  <si>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</si>
  <si>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</si>
  <si>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</si>
  <si>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</si>
  <si>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</si>
  <si>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</si>
  <si>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</si>
  <si>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</si>
  <si>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</si>
  <si>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</si>
  <si>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</si>
  <si>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</si>
  <si>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</si>
  <si>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</si>
  <si>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</si>
  <si>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</si>
  <si>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</si>
  <si>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</si>
  <si>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</si>
  <si>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</si>
  <si>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</si>
  <si>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</si>
  <si>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</si>
  <si>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</si>
  <si>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</si>
  <si>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</si>
  <si>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</si>
  <si>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</si>
  <si>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</si>
  <si>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</si>
  <si>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</si>
  <si>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</si>
  <si>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</si>
  <si>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</si>
  <si>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</si>
  <si>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</si>
  <si>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</si>
  <si>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</si>
  <si>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</si>
  <si>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</si>
  <si>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</si>
  <si>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</si>
  <si>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</si>
  <si>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</si>
  <si>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</si>
  <si>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</si>
  <si>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</si>
  <si>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</si>
  <si>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</si>
  <si>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</si>
  <si>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</si>
  <si>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</si>
  <si>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</si>
  <si>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</si>
  <si>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</si>
  <si>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</si>
  <si>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</si>
  <si>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</si>
  <si>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</si>
  <si>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</si>
  <si>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</si>
  <si>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</si>
  <si>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</si>
  <si>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</si>
  <si>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</si>
  <si>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</si>
  <si>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</si>
  <si>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</si>
  <si>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</si>
  <si>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</si>
  <si>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</si>
  <si>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</si>
  <si>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</si>
  <si>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</si>
  <si>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</si>
  <si>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</si>
  <si>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</si>
  <si>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</si>
  <si>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</si>
  <si>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</si>
  <si>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</si>
  <si>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</si>
  <si>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</si>
  <si>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</si>
  <si>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</si>
  <si>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</si>
  <si>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</si>
  <si>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</si>
  <si>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</si>
  <si>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</si>
  <si>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</si>
  <si>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</si>
  <si>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</si>
  <si>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</si>
  <si>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</si>
  <si>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</si>
  <si>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</si>
  <si>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</si>
  <si>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</si>
  <si>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</si>
  <si>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</si>
  <si>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</si>
  <si>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</si>
  <si>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</si>
  <si>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</si>
  <si>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</si>
  <si>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</si>
  <si>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</si>
  <si>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</si>
  <si>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</si>
  <si>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</si>
  <si>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</si>
  <si>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</si>
  <si>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</si>
  <si>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</si>
  <si>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</si>
  <si>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</si>
  <si>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</si>
  <si>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</si>
  <si>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</si>
  <si>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</si>
  <si>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</si>
  <si>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</si>
  <si>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</si>
  <si>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</si>
  <si>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</si>
  <si>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</si>
  <si>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</si>
  <si>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</si>
  <si>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</si>
  <si>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</si>
  <si>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</si>
  <si>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</si>
  <si>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</si>
  <si>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</si>
  <si>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</si>
  <si>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</si>
  <si>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</si>
  <si>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</si>
  <si>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</si>
  <si>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</si>
  <si>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</si>
  <si>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</si>
  <si>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</si>
  <si>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</si>
  <si>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</si>
  <si>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</si>
  <si>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</si>
  <si>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</si>
  <si>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</si>
  <si>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</si>
  <si>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</si>
  <si>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</si>
  <si>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</si>
  <si>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</si>
  <si>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</si>
  <si>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</si>
  <si>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</si>
  <si>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</si>
  <si>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</si>
  <si>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</si>
  <si>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</si>
  <si>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</si>
  <si>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</si>
  <si>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</si>
  <si>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</si>
  <si>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</si>
  <si>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</si>
  <si>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</si>
  <si>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</si>
  <si>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</si>
  <si>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</si>
  <si>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</si>
  <si>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</si>
  <si>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</si>
  <si>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</si>
  <si>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</si>
  <si>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</si>
  <si>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</si>
  <si>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</si>
  <si>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</si>
  <si>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</si>
  <si>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</si>
  <si>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</si>
  <si>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</si>
  <si>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</si>
  <si>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</si>
  <si>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</si>
  <si>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</si>
  <si>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</si>
  <si>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</si>
  <si>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</si>
  <si>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</si>
  <si>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</si>
  <si>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</si>
  <si>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</si>
  <si>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</si>
  <si>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</si>
  <si>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</si>
  <si>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</si>
  <si>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</si>
  <si>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</si>
  <si>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</si>
  <si>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</si>
  <si>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</si>
  <si>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</si>
  <si>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</si>
  <si>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</si>
  <si>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</si>
  <si>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</si>
  <si>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</si>
  <si>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</si>
  <si>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</si>
  <si>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</si>
  <si>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</si>
  <si>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</si>
  <si>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</si>
  <si>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</si>
  <si>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</si>
  <si>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</si>
  <si>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</si>
  <si>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</si>
  <si>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</si>
  <si>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</si>
  <si>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</si>
  <si>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</si>
  <si>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</si>
  <si>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</si>
  <si>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</si>
  <si>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</si>
  <si>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</si>
  <si>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</si>
  <si>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</si>
  <si>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</si>
  <si>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</si>
  <si>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</si>
  <si>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</si>
  <si>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</si>
  <si>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</si>
  <si>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</si>
  <si>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</si>
  <si>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</si>
  <si>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</si>
  <si>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</si>
  <si>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</si>
  <si>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</si>
  <si>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</si>
  <si>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</si>
  <si>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</si>
  <si>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</si>
  <si>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</si>
  <si>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</si>
  <si>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</si>
  <si>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</si>
  <si>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</si>
  <si>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</si>
  <si>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</si>
  <si>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</si>
  <si>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</si>
  <si>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</si>
  <si>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</si>
  <si>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</si>
  <si>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</si>
  <si>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</si>
  <si>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</si>
  <si>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</si>
  <si>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</si>
  <si>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</si>
  <si>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</si>
  <si>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</si>
  <si>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</si>
  <si>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</si>
  <si>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</si>
  <si>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</si>
  <si>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</si>
  <si>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</si>
  <si>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</si>
  <si>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</si>
  <si>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</si>
  <si>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</si>
  <si>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</si>
  <si>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</si>
  <si>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</si>
  <si>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</si>
  <si>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</si>
  <si>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</si>
  <si>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</si>
  <si>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</si>
  <si>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</si>
  <si>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</si>
  <si>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</si>
  <si>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</si>
  <si>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</si>
  <si>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</si>
  <si>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</si>
  <si>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</si>
  <si>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</si>
  <si>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</si>
  <si>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</si>
  <si>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</si>
  <si>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</si>
  <si>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</si>
  <si>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</si>
  <si>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</si>
  <si>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</si>
  <si>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</si>
  <si>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</si>
  <si>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</si>
  <si>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</si>
  <si>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</si>
  <si>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</si>
  <si>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</si>
  <si>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</si>
  <si>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</si>
  <si>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</si>
  <si>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</si>
  <si>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</si>
  <si>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</si>
  <si>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</si>
  <si>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</si>
  <si>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</si>
  <si>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</si>
  <si>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</si>
  <si>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</si>
  <si>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</si>
  <si>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</si>
  <si>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</si>
  <si>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</si>
  <si>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</si>
  <si>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</si>
  <si>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</si>
  <si>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</si>
  <si>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</si>
  <si>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</si>
  <si>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</si>
  <si>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</si>
  <si>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</si>
  <si>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</si>
  <si>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</si>
  <si>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</si>
  <si>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</si>
  <si>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</si>
  <si>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</si>
  <si>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</si>
  <si>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</si>
  <si>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</si>
  <si>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</si>
  <si>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</si>
  <si>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</si>
  <si>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</si>
  <si>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</si>
  <si>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</si>
  <si>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</si>
  <si>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</si>
  <si>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</si>
  <si>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</si>
  <si>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</si>
  <si>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</si>
  <si>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</si>
  <si>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</si>
  <si>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</si>
  <si>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</si>
  <si>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</si>
  <si>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</si>
  <si>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</si>
  <si>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</si>
  <si>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</si>
  <si>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</si>
  <si>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</si>
  <si>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</si>
  <si>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</si>
  <si>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</si>
  <si>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</si>
  <si>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</si>
  <si>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</si>
  <si>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</si>
  <si>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</si>
  <si>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</si>
  <si>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</si>
  <si>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</si>
  <si>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</si>
  <si>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</si>
  <si>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</si>
  <si>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</si>
  <si>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</si>
  <si>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</si>
  <si>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</si>
  <si>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</si>
  <si>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</si>
  <si>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</si>
  <si>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</si>
  <si>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</si>
  <si>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</si>
  <si>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</si>
  <si>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</si>
  <si>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</si>
  <si>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</si>
  <si>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</si>
  <si>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</si>
  <si>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</si>
  <si>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</si>
  <si>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</si>
  <si>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</si>
  <si>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</si>
  <si>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</si>
  <si>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</si>
  <si>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</si>
  <si>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</si>
  <si>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</si>
  <si>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</si>
  <si>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</si>
  <si>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</si>
  <si>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</si>
  <si>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</si>
  <si>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</si>
  <si>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</si>
  <si>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</si>
  <si>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</si>
  <si>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</si>
  <si>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</si>
  <si>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</si>
  <si>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</si>
  <si>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</si>
  <si>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</si>
  <si>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</si>
  <si>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</si>
  <si>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</si>
  <si>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</si>
  <si>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</si>
  <si>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</si>
  <si>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</si>
  <si>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</si>
  <si>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</si>
  <si>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</si>
  <si>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</si>
  <si>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</si>
  <si>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</si>
  <si>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</si>
  <si>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</si>
  <si>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</si>
  <si>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</si>
  <si>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</si>
  <si>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</si>
  <si>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</si>
  <si>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</si>
  <si>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</si>
  <si>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</si>
  <si>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</si>
  <si>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</si>
  <si>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</si>
  <si>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</si>
  <si>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</si>
  <si>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</si>
  <si>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</si>
  <si>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</si>
  <si>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</si>
  <si>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</si>
  <si>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</si>
  <si>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</si>
  <si>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</si>
  <si>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</si>
  <si>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</si>
  <si>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</si>
  <si>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</si>
  <si>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</si>
  <si>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</si>
  <si>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</si>
  <si>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</si>
  <si>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</si>
  <si>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</si>
  <si>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</si>
  <si>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</si>
  <si>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</si>
  <si>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</si>
  <si>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</si>
  <si>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</si>
  <si>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</si>
  <si>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</si>
  <si>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</si>
  <si>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</si>
  <si>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</si>
  <si>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</si>
  <si>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</si>
  <si>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</si>
  <si>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</si>
  <si>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</si>
  <si>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</si>
  <si>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</si>
  <si>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</si>
  <si>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</si>
  <si>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</si>
  <si>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</si>
  <si>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</si>
  <si>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</si>
  <si>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</si>
  <si>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</si>
  <si>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</si>
  <si>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</si>
  <si>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</si>
  <si>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</si>
  <si>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</si>
  <si>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</si>
  <si>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</si>
  <si>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</si>
  <si>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</si>
  <si>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</si>
  <si>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</si>
  <si>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</si>
  <si>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</si>
  <si>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</si>
  <si>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</si>
  <si>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</si>
  <si>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</si>
  <si>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</si>
  <si>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</si>
  <si>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</si>
  <si>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</si>
  <si>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</si>
  <si>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</si>
  <si>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</si>
  <si>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</si>
  <si>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</si>
  <si>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</si>
  <si>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</si>
  <si>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</si>
  <si>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</si>
  <si>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</si>
  <si>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</si>
  <si>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</si>
  <si>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</si>
  <si>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</si>
  <si>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</si>
  <si>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</si>
  <si>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</si>
  <si>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</si>
  <si>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</si>
  <si>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</si>
  <si>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</si>
  <si>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</si>
  <si>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</si>
  <si>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</si>
  <si>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</si>
  <si>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</si>
  <si>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</si>
  <si>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</si>
  <si>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</si>
  <si>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</si>
  <si>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</si>
  <si>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</si>
  <si>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</si>
  <si>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</si>
  <si>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</si>
  <si>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</si>
  <si>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</si>
  <si>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</si>
  <si>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</si>
  <si>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</si>
  <si>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</si>
  <si>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</si>
  <si>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</si>
  <si>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</si>
  <si>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</si>
  <si>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</si>
  <si>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</si>
  <si>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</si>
  <si>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</si>
  <si>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</si>
  <si>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</si>
  <si>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</si>
  <si>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</si>
  <si>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</si>
  <si>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</si>
  <si>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</si>
  <si>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</si>
  <si>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</si>
  <si>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</si>
  <si>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</si>
  <si>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</si>
  <si>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</si>
  <si>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</si>
  <si>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</si>
  <si>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</si>
  <si>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</si>
  <si>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</si>
  <si>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</si>
  <si>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</si>
  <si>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</si>
  <si>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</si>
  <si>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</si>
  <si>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</si>
  <si>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</si>
  <si>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</si>
  <si>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</si>
  <si>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</si>
  <si>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</si>
  <si>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</si>
  <si>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</si>
  <si>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</si>
  <si>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</si>
  <si>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</si>
  <si>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</si>
  <si>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</si>
  <si>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</si>
  <si>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</si>
  <si>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</si>
  <si>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</si>
  <si>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</si>
  <si>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</si>
  <si>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</si>
  <si>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</si>
  <si>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</si>
  <si>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</si>
  <si>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</si>
  <si>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</si>
  <si>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</si>
  <si>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</si>
  <si>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</si>
  <si>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</si>
  <si>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</si>
  <si>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</si>
  <si>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</si>
  <si>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</si>
  <si>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</si>
  <si>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</si>
  <si>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</si>
  <si>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</si>
  <si>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</si>
  <si>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</si>
  <si>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</si>
  <si>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</si>
  <si>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</si>
  <si>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</si>
  <si>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</si>
  <si>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</si>
  <si>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</si>
  <si>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</si>
  <si>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</si>
  <si>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</si>
  <si>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</si>
  <si>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</si>
  <si>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</si>
  <si>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</si>
  <si>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</si>
  <si>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</si>
  <si>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</si>
  <si>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</si>
  <si>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</si>
  <si>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</si>
  <si>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</si>
  <si>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</si>
  <si>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</si>
  <si>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</si>
  <si>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</si>
  <si>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</si>
  <si>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</si>
  <si>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</si>
  <si>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</si>
  <si>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</si>
  <si>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</si>
  <si>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</si>
  <si>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</si>
  <si>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</si>
  <si>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</si>
  <si>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</si>
  <si>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</si>
  <si>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</si>
  <si>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</si>
  <si>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</si>
  <si>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</si>
  <si>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</si>
  <si>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</si>
  <si>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</si>
  <si>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</si>
  <si>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</si>
  <si>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</si>
  <si>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</si>
  <si>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</si>
  <si>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</si>
  <si>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</si>
  <si>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</si>
  <si>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</si>
  <si>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</si>
  <si>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</si>
  <si>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</si>
  <si>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</si>
  <si>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</si>
  <si>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</si>
  <si>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</si>
  <si>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</si>
  <si>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</si>
  <si>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</si>
  <si>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</si>
  <si>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</si>
  <si>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</si>
  <si>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</si>
  <si>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</si>
  <si>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</si>
  <si>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</si>
  <si>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</si>
  <si>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</si>
  <si>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</si>
  <si>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</si>
  <si>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</si>
  <si>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</si>
  <si>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</si>
  <si>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</si>
  <si>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</si>
  <si>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</si>
  <si>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</si>
  <si>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</si>
  <si>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</si>
  <si>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</si>
  <si>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</si>
  <si>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</si>
  <si>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</si>
  <si>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</si>
  <si>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</si>
  <si>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</si>
  <si>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</si>
  <si>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</si>
  <si>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</si>
  <si>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</si>
  <si>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</si>
  <si>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</si>
  <si>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</si>
  <si>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</si>
  <si>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</si>
  <si>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</si>
  <si>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</si>
  <si>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</si>
  <si>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</si>
  <si>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</si>
  <si>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</si>
  <si>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</si>
  <si>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</si>
  <si>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</si>
  <si>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</si>
  <si>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</si>
  <si>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</si>
  <si>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</si>
  <si>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</si>
  <si>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</si>
  <si>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</si>
  <si>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</si>
  <si>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</si>
  <si>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</si>
  <si>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</si>
  <si>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</si>
  <si>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</si>
  <si>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</si>
  <si>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</si>
  <si>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</si>
  <si>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</si>
  <si>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</si>
  <si>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</si>
  <si>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</si>
  <si>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</si>
  <si>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</si>
  <si>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</si>
  <si>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</si>
  <si>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</si>
  <si>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</si>
  <si>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</si>
  <si>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</si>
  <si>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</si>
  <si>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</si>
  <si>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</si>
  <si>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</si>
  <si>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</si>
  <si>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</si>
  <si>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</si>
  <si>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</si>
  <si>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</si>
  <si>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</si>
  <si>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</si>
  <si>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</si>
  <si>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</si>
  <si>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</si>
  <si>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</si>
  <si>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</si>
  <si>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</si>
  <si>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</si>
  <si>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</si>
  <si>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</si>
  <si>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</si>
  <si>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</si>
  <si>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</si>
  <si>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</si>
  <si>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</si>
  <si>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</si>
  <si>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</si>
  <si>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</si>
  <si>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</si>
  <si>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</si>
  <si>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</si>
  <si>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</si>
  <si>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</si>
  <si>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</si>
  <si>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</si>
  <si>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</si>
  <si>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</si>
  <si>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</si>
  <si>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</si>
  <si>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</si>
  <si>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</si>
  <si>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</si>
  <si>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</si>
  <si>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</si>
  <si>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</si>
  <si>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</si>
  <si>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</si>
  <si>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</si>
  <si>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</si>
  <si>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</si>
  <si>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</si>
  <si>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</si>
  <si>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</si>
  <si>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</si>
  <si>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</si>
  <si>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</si>
  <si>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</si>
  <si>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</si>
  <si>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</si>
  <si>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</si>
  <si>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</si>
  <si>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</si>
  <si>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</si>
  <si>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</si>
  <si>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</si>
  <si>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</si>
  <si>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</si>
  <si>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</si>
  <si>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</si>
  <si>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</si>
  <si>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</si>
  <si>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</si>
  <si>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</si>
  <si>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</si>
  <si>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</si>
  <si>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</si>
  <si>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</si>
  <si>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</si>
  <si>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</si>
  <si>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</si>
  <si>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</si>
  <si>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</si>
  <si>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</si>
  <si>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</si>
  <si>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</si>
  <si>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</si>
  <si>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</si>
  <si>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</si>
  <si>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</si>
  <si>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</si>
  <si>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</si>
  <si>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</si>
  <si>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</si>
  <si>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</si>
  <si>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</si>
  <si>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</si>
  <si>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</si>
  <si>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</si>
  <si>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</si>
  <si>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</si>
  <si>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</si>
  <si>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</si>
  <si>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</si>
  <si>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</si>
  <si>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</si>
  <si>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</si>
  <si>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</si>
  <si>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</si>
  <si>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</si>
  <si>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</si>
  <si>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</si>
  <si>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</si>
  <si>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</si>
  <si>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</si>
  <si>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</si>
  <si>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</si>
  <si>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</si>
  <si>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</si>
  <si>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</si>
  <si>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</si>
  <si>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</si>
  <si>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</si>
  <si>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</si>
  <si>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</si>
  <si>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</si>
  <si>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</si>
  <si>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</si>
  <si>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</si>
  <si>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</si>
  <si>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</si>
  <si>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</si>
  <si>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</si>
  <si>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</si>
  <si>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</si>
  <si>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</si>
  <si>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</si>
  <si>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</si>
  <si>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</si>
  <si>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</si>
  <si>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</si>
  <si>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</si>
  <si>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</si>
  <si>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</si>
  <si>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</si>
  <si>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</si>
  <si>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</si>
  <si>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</si>
  <si>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</si>
  <si>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</si>
  <si>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</si>
  <si>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</si>
  <si>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</si>
  <si>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</si>
  <si>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</si>
  <si>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</si>
  <si>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</si>
  <si>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</si>
  <si>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</si>
  <si>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</si>
  <si>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</si>
  <si>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</si>
  <si>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</si>
  <si>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</si>
  <si>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</si>
  <si>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</si>
  <si>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</si>
  <si>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</si>
  <si>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</si>
  <si>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</si>
  <si>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</si>
  <si>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</si>
  <si>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</si>
  <si>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</si>
  <si>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</si>
  <si>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</si>
  <si>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</si>
  <si>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</si>
  <si>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</si>
  <si>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</si>
  <si>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</si>
  <si>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</si>
  <si>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</si>
  <si>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</si>
  <si>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</si>
  <si>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</si>
  <si>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</si>
  <si>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</si>
  <si>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</si>
  <si>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</si>
  <si>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</si>
  <si>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</si>
  <si>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</si>
  <si>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</si>
  <si>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</si>
  <si>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</si>
  <si>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</si>
  <si>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</si>
  <si>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</si>
  <si>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</si>
  <si>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</si>
  <si>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</si>
  <si>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</si>
  <si>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</si>
  <si>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</si>
  <si>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</si>
  <si>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</si>
  <si>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</si>
  <si>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</si>
  <si>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</si>
  <si>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</si>
  <si>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</si>
  <si>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</si>
  <si>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</si>
  <si>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</si>
  <si>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</si>
  <si>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</si>
  <si>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</si>
  <si>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</si>
  <si>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</si>
  <si>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</si>
  <si>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</si>
  <si>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</si>
  <si>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</si>
  <si>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</si>
  <si>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</si>
  <si>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</si>
  <si>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</si>
  <si>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</si>
  <si>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</si>
  <si>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</si>
  <si>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</si>
  <si>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</si>
  <si>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</si>
  <si>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</si>
  <si>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</si>
  <si>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</si>
  <si>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</si>
  <si>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</si>
  <si>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</si>
  <si>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</si>
  <si>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</si>
  <si>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</si>
  <si>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</si>
  <si>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</si>
  <si>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</si>
  <si>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</si>
  <si>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</si>
  <si>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</si>
  <si>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</si>
  <si>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</si>
  <si>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</si>
  <si>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</si>
  <si>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</si>
  <si>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</si>
  <si>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</si>
  <si>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</si>
  <si>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</si>
  <si>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</si>
  <si>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</si>
  <si>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</si>
  <si>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</si>
  <si>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</si>
  <si>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</si>
  <si>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</si>
  <si>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</si>
  <si>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</si>
  <si>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</si>
  <si>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</si>
  <si>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</si>
  <si>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</si>
  <si>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</si>
  <si>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</si>
  <si>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</si>
  <si>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</si>
  <si>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</si>
  <si>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</si>
  <si>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</si>
  <si>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</si>
  <si>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</si>
  <si>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</si>
  <si>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</si>
  <si>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</si>
  <si>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</si>
  <si>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</si>
  <si>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</si>
  <si>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</si>
  <si>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</si>
  <si>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</si>
  <si>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</si>
  <si>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</si>
  <si>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</si>
  <si>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</si>
  <si>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</si>
  <si>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</si>
  <si>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</si>
  <si>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</si>
  <si>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</si>
  <si>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</si>
  <si>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</si>
  <si>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</si>
  <si>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</si>
  <si>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</si>
  <si>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</si>
  <si>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</si>
  <si>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</si>
  <si>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</si>
  <si>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</si>
  <si>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</si>
  <si>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</si>
  <si>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</si>
  <si>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</si>
  <si>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</si>
  <si>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</si>
  <si>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</si>
  <si>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</si>
  <si>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</si>
  <si>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</si>
  <si>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</si>
  <si>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</si>
  <si>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</si>
  <si>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</si>
  <si>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</si>
  <si>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</si>
  <si>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</si>
  <si>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</si>
  <si>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</si>
  <si>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</si>
  <si>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</si>
  <si>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</si>
  <si>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</si>
  <si>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</si>
  <si>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</si>
  <si>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</si>
  <si>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</si>
  <si>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</si>
  <si>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</si>
  <si>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</si>
  <si>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</si>
  <si>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</si>
  <si>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</si>
  <si>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</si>
  <si>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</si>
  <si>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</si>
  <si>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</si>
  <si>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</si>
  <si>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</si>
  <si>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</si>
  <si>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</si>
  <si>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</si>
  <si>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</si>
  <si>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</si>
  <si>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</si>
  <si>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</si>
  <si>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</si>
  <si>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</si>
  <si>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</si>
  <si>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</si>
  <si>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</si>
  <si>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</si>
  <si>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</si>
  <si>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</si>
  <si>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</si>
  <si>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</si>
  <si>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</si>
  <si>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</si>
  <si>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</si>
  <si>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</si>
  <si>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</si>
  <si>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</si>
  <si>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</si>
  <si>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</si>
  <si>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</si>
  <si>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</si>
  <si>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</si>
  <si>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</si>
  <si>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</si>
  <si>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</si>
  <si>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</si>
  <si>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</si>
  <si>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</si>
  <si>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</si>
  <si>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</si>
  <si>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</si>
  <si>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</si>
  <si>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</si>
  <si>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</si>
  <si>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</si>
  <si>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</si>
  <si>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</si>
  <si>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</si>
  <si>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</si>
  <si>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</si>
  <si>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</si>
  <si>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</si>
  <si>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</si>
  <si>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</si>
  <si>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</si>
  <si>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</si>
  <si>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</si>
  <si>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</si>
  <si>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</si>
  <si>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</si>
  <si>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</si>
  <si>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</si>
  <si>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</si>
  <si>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</si>
  <si>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</si>
  <si>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</si>
  <si>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</si>
  <si>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</si>
  <si>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</si>
  <si>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</si>
  <si>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</si>
  <si>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</si>
  <si>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</si>
  <si>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</si>
  <si>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</si>
  <si>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</si>
  <si>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</si>
  <si>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</si>
  <si>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</si>
  <si>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</si>
  <si>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</si>
  <si>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</si>
  <si>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</si>
  <si>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</si>
  <si>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</si>
  <si>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</si>
  <si>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</si>
  <si>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</si>
  <si>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</si>
  <si>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</si>
  <si>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</si>
  <si>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</si>
  <si>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</si>
  <si>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</si>
  <si>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</si>
  <si>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</si>
  <si>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</si>
  <si>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</si>
  <si>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</si>
  <si>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</si>
  <si>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</si>
  <si>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</si>
  <si>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</si>
  <si>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</si>
  <si>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</si>
  <si>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</si>
  <si>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</si>
  <si>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</si>
  <si>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</si>
  <si>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</si>
  <si>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</si>
  <si>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</si>
  <si>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</si>
  <si>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</si>
  <si>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</si>
  <si>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</si>
  <si>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</si>
  <si>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</si>
  <si>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</si>
  <si>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</si>
  <si>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</si>
  <si>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</si>
  <si>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</si>
  <si>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</si>
  <si>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</si>
  <si>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</si>
  <si>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</si>
  <si>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</si>
  <si>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</si>
  <si>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</si>
  <si>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</si>
  <si>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</si>
  <si>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</si>
  <si>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</si>
  <si>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</si>
  <si>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</si>
  <si>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</si>
  <si>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</si>
  <si>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</si>
  <si>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</si>
  <si>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</si>
  <si>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</si>
  <si>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</si>
  <si>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</si>
  <si>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</si>
  <si>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</si>
  <si>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</si>
  <si>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</si>
  <si>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</si>
  <si>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</si>
  <si>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</si>
  <si>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</si>
  <si>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</si>
  <si>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</si>
  <si>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</si>
  <si>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</si>
  <si>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</si>
  <si>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</si>
  <si>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</si>
  <si>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</si>
  <si>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</si>
  <si>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</si>
  <si>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</si>
  <si>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</si>
  <si>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</si>
  <si>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</si>
  <si>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</si>
  <si>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</si>
  <si>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</si>
  <si>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</si>
  <si>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</si>
  <si>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</si>
  <si>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</si>
  <si>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</si>
  <si>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</si>
  <si>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</si>
  <si>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</si>
  <si>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</si>
  <si>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</si>
  <si>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</si>
  <si>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</si>
  <si>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</si>
  <si>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</si>
  <si>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</si>
  <si>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</si>
  <si>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</si>
  <si>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</si>
  <si>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</si>
  <si>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</si>
  <si>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</si>
  <si>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</si>
  <si>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</si>
  <si>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</si>
  <si>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</si>
  <si>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</si>
  <si>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</si>
  <si>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</si>
  <si>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</si>
  <si>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</si>
  <si>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</si>
  <si>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</si>
  <si>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</si>
  <si>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</si>
  <si>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</si>
  <si>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</si>
  <si>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</si>
  <si>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</si>
  <si>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</si>
  <si>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</si>
  <si>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</si>
  <si>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</si>
  <si>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</si>
  <si>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</si>
  <si>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</si>
  <si>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</si>
  <si>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</si>
  <si>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</si>
  <si>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</si>
  <si>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</si>
  <si>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</si>
  <si>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</si>
  <si>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</si>
  <si>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</si>
  <si>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</si>
  <si>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</si>
  <si>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</si>
  <si>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</si>
  <si>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</si>
  <si>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</si>
  <si>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</si>
  <si>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</si>
  <si>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</si>
  <si>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</si>
  <si>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</si>
  <si>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</si>
  <si>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</si>
  <si>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</si>
  <si>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</si>
  <si>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</si>
  <si>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</si>
  <si>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</si>
  <si>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</si>
  <si>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</si>
  <si>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</si>
  <si>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</si>
  <si>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</si>
  <si>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</si>
  <si>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</si>
  <si>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</si>
  <si>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</si>
  <si>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</si>
  <si>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</si>
  <si>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</si>
  <si>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</si>
  <si>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</si>
  <si>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</si>
  <si>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</si>
  <si>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</si>
  <si>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</si>
  <si>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</si>
  <si>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</si>
  <si>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</si>
  <si>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</si>
  <si>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</si>
  <si>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</si>
  <si>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</si>
  <si>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</si>
  <si>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</si>
  <si>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</si>
  <si>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</si>
  <si>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</si>
  <si>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</si>
  <si>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</si>
  <si>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</si>
  <si>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</si>
  <si>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</si>
  <si>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</si>
  <si>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</si>
  <si>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</si>
  <si>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</si>
  <si>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</si>
  <si>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</si>
  <si>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</si>
  <si>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</si>
  <si>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</si>
  <si>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</si>
  <si>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</si>
  <si>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</si>
  <si>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</si>
  <si>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</si>
  <si>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</si>
  <si>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</si>
  <si>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</si>
  <si>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</si>
  <si>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</si>
  <si>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</si>
  <si>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</si>
  <si>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</si>
  <si>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</si>
  <si>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</si>
  <si>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</si>
  <si>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</si>
  <si>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</si>
  <si>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</si>
  <si>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</si>
  <si>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</si>
  <si>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</si>
  <si>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</si>
  <si>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</si>
  <si>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</si>
  <si>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</si>
  <si>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</si>
  <si>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</si>
  <si>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</si>
  <si>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</si>
  <si>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</si>
  <si>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</si>
  <si>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</si>
  <si>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</si>
  <si>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</si>
  <si>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</si>
  <si>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</si>
  <si>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</si>
  <si>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</si>
  <si>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</si>
  <si>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</si>
  <si>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</si>
  <si>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</si>
  <si>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</si>
  <si>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</si>
  <si>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</si>
  <si>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</si>
  <si>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</si>
  <si>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</si>
  <si>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</si>
  <si>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</si>
  <si>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</si>
  <si>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</si>
  <si>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</si>
  <si>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</si>
  <si>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</si>
  <si>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</si>
  <si>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</si>
  <si>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</si>
  <si>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</si>
  <si>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</si>
  <si>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</si>
  <si>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</si>
  <si>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</si>
  <si>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</si>
  <si>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</si>
  <si>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</si>
  <si>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</si>
  <si>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</si>
  <si>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</si>
  <si>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</si>
  <si>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</si>
  <si>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</si>
  <si>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</si>
  <si>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</si>
  <si>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</si>
  <si>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</si>
  <si>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</si>
  <si>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</si>
  <si>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</si>
  <si>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</si>
  <si>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</si>
  <si>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</si>
  <si>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</si>
  <si>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</si>
  <si>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</si>
  <si>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</si>
  <si>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</si>
  <si>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</si>
  <si>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</si>
  <si>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</si>
  <si>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</si>
  <si>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</si>
  <si>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</si>
  <si>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</si>
  <si>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</si>
  <si>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</si>
  <si>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</si>
  <si>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</si>
  <si>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</si>
  <si>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</si>
  <si>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</si>
  <si>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</si>
  <si>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</si>
  <si>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</si>
  <si>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</si>
  <si>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</si>
  <si>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</si>
  <si>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</si>
  <si>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</si>
  <si>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</si>
  <si>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</si>
  <si>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</si>
  <si>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</si>
  <si>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</si>
  <si>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</si>
  <si>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</si>
  <si>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</si>
  <si>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</si>
  <si>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</si>
  <si>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</si>
  <si>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</si>
  <si>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</si>
  <si>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</si>
  <si>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</si>
  <si>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</si>
  <si>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</si>
  <si>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</si>
  <si>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</si>
  <si>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</si>
  <si>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</si>
  <si>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</si>
  <si>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</si>
  <si>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</si>
  <si>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</si>
  <si>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</si>
  <si>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</si>
  <si>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</si>
  <si>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</si>
  <si>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</si>
  <si>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</si>
  <si>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</si>
  <si>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</si>
  <si>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</si>
  <si>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</si>
  <si>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</si>
  <si>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</si>
  <si>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</si>
  <si>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</si>
  <si>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</si>
  <si>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</si>
  <si>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</si>
  <si>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</si>
  <si>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</si>
  <si>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</si>
  <si>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</si>
  <si>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</si>
  <si>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</si>
  <si>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</si>
  <si>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</si>
  <si>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</si>
  <si>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</si>
  <si>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</si>
  <si>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</si>
  <si>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</si>
  <si>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</si>
  <si>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</si>
  <si>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</si>
  <si>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</si>
  <si>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</si>
  <si>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</si>
  <si>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</si>
  <si>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</si>
  <si>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</si>
  <si>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</si>
  <si>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</si>
  <si>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</si>
  <si>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</si>
  <si>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</si>
  <si>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</si>
  <si>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</si>
  <si>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</si>
  <si>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</si>
  <si>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</si>
  <si>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</si>
  <si>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</si>
  <si>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</si>
  <si>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</si>
  <si>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</si>
  <si>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</si>
  <si>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</si>
  <si>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</si>
  <si>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</si>
  <si>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</si>
  <si>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</si>
  <si>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</si>
  <si>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</si>
  <si>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</si>
  <si>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</si>
  <si>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</si>
  <si>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</si>
  <si>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</si>
  <si>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</si>
  <si>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</si>
  <si>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</si>
  <si>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</si>
  <si>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</si>
  <si>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</si>
  <si>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</si>
  <si>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</si>
  <si>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</si>
  <si>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</si>
  <si>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</si>
  <si>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</si>
  <si>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</si>
  <si>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</si>
  <si>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</si>
  <si>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</si>
  <si>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</si>
  <si>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</si>
  <si>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</si>
  <si>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</si>
  <si>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</si>
  <si>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</si>
  <si>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</si>
  <si>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</si>
  <si>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</si>
  <si>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</si>
  <si>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</si>
  <si>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</si>
  <si>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</si>
  <si>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</si>
  <si>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</si>
  <si>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</si>
  <si>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</si>
  <si>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</si>
  <si>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</si>
  <si>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</si>
  <si>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</si>
  <si>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</si>
  <si>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</si>
  <si>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</si>
  <si>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</si>
  <si>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</si>
  <si>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</si>
  <si>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</si>
  <si>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</si>
  <si>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</si>
  <si>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</si>
  <si>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</si>
  <si>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</si>
  <si>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</si>
  <si>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</si>
  <si>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</si>
  <si>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</si>
  <si>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</si>
  <si>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</si>
  <si>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</si>
  <si>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</si>
  <si>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</si>
  <si>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</si>
  <si>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</si>
  <si>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</si>
  <si>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</si>
  <si>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</si>
  <si>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</si>
  <si>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</si>
  <si>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</si>
  <si>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</si>
  <si>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</si>
  <si>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</si>
  <si>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</si>
  <si>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</si>
  <si>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</si>
  <si>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</si>
  <si>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</si>
  <si>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</si>
  <si>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</si>
  <si>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</si>
  <si>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</si>
  <si>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</si>
  <si>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</si>
  <si>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</si>
  <si>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</si>
  <si>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</si>
  <si>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</si>
  <si>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</si>
  <si>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</si>
  <si>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</si>
  <si>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</si>
  <si>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</si>
  <si>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</si>
  <si>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</si>
  <si>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</si>
  <si>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</si>
  <si>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</si>
  <si>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</si>
  <si>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</si>
  <si>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</si>
  <si>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</si>
  <si>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</si>
  <si>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</si>
  <si>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</si>
  <si>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</si>
  <si>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</si>
  <si>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</si>
  <si>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</si>
  <si>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</si>
  <si>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</si>
  <si>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</si>
  <si>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</si>
  <si>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</si>
  <si>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</si>
  <si>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</si>
  <si>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</si>
  <si>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</si>
  <si>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</si>
  <si>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</si>
  <si>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</si>
  <si>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</si>
  <si>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</si>
  <si>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</si>
  <si>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</si>
  <si>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</si>
  <si>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</si>
  <si>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</si>
  <si>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</si>
  <si>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</si>
  <si>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</si>
  <si>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</si>
  <si>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</si>
  <si>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</si>
  <si>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</si>
  <si>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</si>
  <si>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</si>
  <si>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</si>
  <si>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</si>
  <si>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</si>
  <si>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</si>
  <si>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</si>
  <si>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</si>
  <si>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</si>
  <si>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</si>
  <si>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</si>
  <si>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</si>
  <si>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</si>
  <si>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</si>
  <si>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</si>
  <si>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</si>
  <si>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</si>
  <si>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</si>
  <si>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</si>
  <si>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</si>
  <si>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</si>
  <si>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</si>
  <si>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</si>
  <si>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</si>
  <si>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</si>
  <si>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</si>
  <si>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</si>
  <si>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</si>
  <si>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</si>
  <si>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</si>
  <si>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</si>
  <si>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</si>
  <si>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</si>
  <si>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</si>
  <si>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</si>
  <si>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</si>
  <si>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</si>
  <si>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</si>
  <si>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</si>
  <si>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</si>
  <si>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</si>
  <si>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</si>
  <si>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</si>
  <si>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</si>
  <si>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</si>
  <si>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</si>
  <si>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</si>
  <si>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</si>
  <si>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</si>
  <si>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</si>
  <si>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</si>
  <si>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</si>
  <si>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</si>
  <si>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</si>
  <si>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</si>
  <si>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</si>
  <si>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</si>
  <si>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</si>
  <si>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</si>
  <si>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</si>
  <si>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</si>
  <si>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</si>
  <si>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</si>
  <si>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</si>
  <si>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</si>
  <si>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</si>
  <si>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</si>
  <si>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</si>
  <si>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</si>
  <si>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</si>
  <si>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</si>
  <si>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</si>
  <si>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</si>
  <si>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</si>
  <si>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</si>
  <si>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</si>
  <si>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</si>
  <si>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</si>
  <si>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</si>
  <si>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</si>
  <si>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</si>
  <si>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</si>
  <si>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</si>
  <si>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</si>
  <si>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</si>
  <si>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</si>
  <si>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</si>
  <si>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</si>
  <si>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</si>
  <si>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</si>
  <si>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</si>
  <si>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</si>
  <si>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</si>
  <si>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</si>
  <si>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</si>
  <si>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</si>
  <si>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</si>
  <si>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</si>
  <si>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</si>
  <si>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</si>
  <si>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</si>
  <si>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</si>
  <si>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</si>
  <si>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</si>
  <si>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</si>
  <si>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</si>
  <si>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</si>
  <si>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</si>
  <si>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</si>
  <si>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</si>
  <si>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</si>
  <si>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</si>
  <si>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</si>
  <si>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</si>
  <si>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</si>
  <si>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</si>
  <si>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</si>
  <si>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</si>
  <si>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</si>
  <si>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</si>
  <si>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</si>
  <si>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</si>
  <si>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</si>
  <si>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</si>
  <si>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</si>
  <si>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</si>
  <si>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</si>
  <si>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</si>
  <si>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</si>
  <si>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</si>
  <si>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</si>
  <si>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</si>
  <si>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</si>
  <si>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</si>
  <si>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</si>
  <si>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</si>
  <si>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</si>
  <si>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</si>
  <si>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</si>
  <si>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</si>
  <si>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</si>
  <si>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</si>
  <si>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</si>
  <si>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</si>
  <si>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</si>
  <si>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</si>
  <si>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</si>
  <si>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</si>
  <si>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</si>
  <si>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</si>
  <si>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</si>
  <si>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</si>
  <si>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</si>
  <si>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</si>
  <si>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</si>
  <si>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</si>
  <si>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</si>
  <si>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</si>
  <si>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</si>
  <si>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</si>
  <si>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</si>
  <si>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</si>
  <si>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</si>
  <si>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</si>
  <si>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</si>
  <si>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</si>
  <si>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</si>
  <si>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</si>
  <si>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</si>
  <si>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</si>
  <si>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</si>
  <si>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</si>
  <si>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</si>
  <si>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</si>
  <si>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</si>
  <si>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</si>
  <si>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</si>
  <si>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</si>
  <si>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</si>
  <si>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</si>
  <si>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</si>
  <si>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</si>
  <si>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</si>
  <si>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</si>
  <si>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</si>
  <si>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</si>
  <si>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</si>
  <si>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</si>
  <si>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</si>
  <si>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</si>
  <si>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</si>
  <si>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</si>
  <si>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</si>
  <si>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</si>
  <si>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</si>
  <si>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</si>
  <si>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</si>
  <si>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</si>
  <si>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</si>
  <si>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</si>
  <si>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</si>
  <si>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</si>
  <si>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</si>
  <si>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</si>
  <si>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</si>
  <si>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</si>
  <si>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</si>
  <si>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</si>
  <si>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</si>
  <si>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</si>
  <si>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</si>
  <si>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</si>
  <si>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</si>
  <si>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</si>
  <si>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</si>
  <si>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</si>
  <si>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</si>
  <si>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</si>
  <si>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</si>
  <si>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</si>
  <si>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</si>
  <si>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</si>
  <si>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</si>
  <si>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</si>
  <si>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</si>
  <si>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</si>
  <si>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</si>
  <si>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</si>
  <si>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</si>
  <si>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</si>
  <si>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</si>
  <si>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</si>
  <si>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</si>
  <si>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</si>
  <si>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</si>
  <si>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</si>
  <si>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</si>
  <si>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</si>
  <si>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</si>
  <si>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</si>
  <si>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</si>
  <si>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</si>
  <si>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</si>
  <si>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</si>
  <si>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</si>
  <si>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</si>
  <si>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</si>
  <si>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</si>
  <si>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</si>
  <si>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</si>
  <si>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</si>
  <si>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</si>
  <si>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</si>
  <si>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</si>
  <si>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</si>
  <si>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</si>
  <si>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</si>
  <si>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</si>
  <si>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</si>
  <si>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</si>
  <si>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</si>
  <si>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</si>
  <si>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</si>
  <si>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</si>
  <si>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</si>
  <si>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</si>
  <si>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</si>
  <si>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</si>
  <si>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</si>
  <si>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</si>
  <si>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</si>
  <si>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</si>
  <si>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</si>
  <si>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</si>
  <si>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</si>
  <si>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</si>
  <si>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</si>
  <si>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</si>
  <si>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</si>
  <si>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</si>
  <si>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</si>
  <si>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</si>
  <si>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</si>
  <si>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</si>
  <si>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</si>
  <si>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</si>
  <si>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</si>
  <si>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</si>
  <si>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</si>
  <si>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</si>
  <si>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</si>
  <si>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</si>
  <si>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</si>
  <si>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</si>
  <si>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</si>
  <si>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</si>
  <si>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</si>
  <si>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</si>
  <si>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</si>
  <si>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</si>
  <si>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</si>
  <si>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</si>
  <si>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</si>
  <si>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</si>
  <si>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</si>
  <si>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</si>
  <si>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</si>
  <si>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</si>
  <si>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</si>
  <si>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</si>
  <si>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</si>
  <si>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</si>
  <si>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</si>
  <si>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</si>
  <si>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</si>
  <si>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</si>
  <si>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</si>
  <si>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</si>
  <si>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</si>
  <si>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</si>
  <si>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</si>
  <si>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</si>
  <si>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</si>
  <si>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</si>
  <si>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</si>
  <si>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</si>
  <si>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</si>
  <si>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</si>
  <si>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</si>
  <si>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</si>
  <si>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</si>
  <si>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</si>
  <si>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</si>
  <si>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</si>
  <si>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</si>
  <si>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</si>
  <si>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</si>
  <si>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</si>
  <si>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</si>
  <si>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</si>
  <si>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</si>
  <si>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</si>
  <si>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</si>
  <si>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</si>
  <si>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</si>
  <si>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</si>
  <si>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</si>
  <si>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</si>
  <si>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</si>
  <si>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</si>
  <si>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</si>
  <si>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</si>
  <si>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</si>
  <si>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</si>
  <si>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</si>
  <si>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</si>
  <si>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</si>
  <si>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</si>
  <si>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</si>
  <si>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</si>
  <si>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</si>
  <si>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</si>
  <si>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</si>
  <si>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</si>
  <si>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</si>
  <si>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</si>
  <si>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</si>
  <si>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</si>
  <si>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</si>
  <si>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</si>
  <si>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</si>
  <si>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</si>
  <si>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</si>
  <si>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</si>
  <si>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</si>
  <si>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</si>
  <si>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</si>
  <si>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</si>
  <si>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</si>
  <si>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</si>
  <si>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</si>
  <si>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</si>
  <si>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</si>
  <si>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</si>
  <si>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</si>
  <si>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</si>
  <si>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</si>
  <si>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</si>
  <si>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</si>
  <si>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</si>
  <si>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</si>
  <si>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</si>
  <si>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</si>
  <si>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</si>
  <si>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</si>
  <si>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</si>
  <si>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</si>
  <si>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</si>
  <si>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</si>
  <si>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</si>
  <si>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</si>
  <si>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</si>
  <si>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</si>
  <si>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</si>
  <si>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</si>
  <si>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</si>
  <si>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</si>
  <si>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</si>
  <si>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</si>
  <si>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</si>
  <si>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</si>
  <si>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</si>
  <si>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</si>
  <si>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</si>
  <si>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</si>
  <si>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</si>
  <si>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</si>
  <si>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</si>
  <si>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</si>
  <si>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</si>
  <si>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</si>
  <si>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</si>
  <si>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</si>
  <si>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</si>
  <si>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</si>
  <si>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</si>
  <si>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</si>
  <si>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</si>
  <si>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</si>
  <si>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</si>
  <si>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</si>
  <si>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</si>
  <si>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</si>
  <si>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</si>
  <si>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</si>
  <si>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</si>
  <si>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</si>
  <si>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</si>
  <si>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</si>
  <si>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</si>
  <si>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</si>
  <si>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</si>
  <si>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</si>
  <si>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</si>
  <si>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</si>
  <si>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</si>
  <si>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</si>
  <si>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</si>
  <si>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</si>
  <si>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</si>
  <si>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</si>
  <si>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</si>
  <si>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</si>
  <si>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</si>
  <si>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</si>
  <si>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</si>
  <si>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</si>
  <si>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</si>
  <si>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</si>
  <si>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</si>
  <si>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</si>
  <si>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</si>
  <si>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</si>
  <si>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</si>
  <si>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</si>
  <si>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</si>
  <si>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</si>
  <si>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</si>
  <si>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</si>
  <si>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</si>
  <si>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</si>
  <si>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</si>
  <si>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</si>
  <si>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</si>
  <si>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</si>
  <si>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</si>
  <si>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</si>
  <si>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</si>
  <si>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</si>
  <si>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</si>
  <si>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</si>
  <si>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</si>
  <si>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</si>
  <si>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</si>
  <si>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</si>
  <si>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</si>
  <si>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</si>
  <si>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</si>
  <si>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</si>
  <si>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</si>
  <si>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</si>
  <si>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</si>
  <si>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</si>
  <si>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</si>
  <si>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</si>
  <si>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</si>
  <si>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</si>
  <si>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</si>
  <si>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</si>
  <si>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</si>
  <si>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</si>
  <si>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</si>
  <si>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</si>
  <si>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</si>
  <si>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</si>
  <si>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</si>
  <si>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</si>
  <si>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</si>
  <si>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</si>
  <si>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</si>
  <si>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</si>
  <si>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</si>
  <si>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</si>
  <si>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</si>
  <si>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</si>
  <si>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</si>
  <si>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</si>
  <si>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</si>
  <si>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</si>
  <si>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</si>
  <si>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</si>
  <si>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</si>
  <si>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</si>
  <si>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</si>
  <si>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</si>
  <si>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</si>
  <si>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</si>
  <si>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</si>
  <si>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</si>
  <si>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</si>
  <si>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</si>
  <si>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</si>
  <si>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</si>
  <si>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</si>
  <si>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</si>
  <si>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</si>
  <si>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</si>
  <si>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</si>
  <si>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</si>
  <si>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</si>
  <si>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</si>
  <si>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</si>
  <si>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</si>
  <si>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</si>
  <si>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</si>
  <si>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</si>
  <si>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</si>
  <si>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</si>
  <si>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</si>
  <si>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</si>
  <si>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</si>
  <si>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</si>
  <si>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</si>
  <si>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</si>
  <si>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</si>
  <si>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</si>
  <si>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</si>
  <si>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</si>
  <si>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</si>
  <si>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</si>
  <si>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</si>
  <si>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</si>
  <si>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</si>
  <si>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</si>
  <si>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</si>
  <si>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</si>
  <si>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</si>
  <si>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</si>
  <si>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</si>
  <si>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</si>
  <si>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</si>
  <si>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</si>
  <si>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</si>
  <si>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</si>
  <si>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</si>
  <si>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</si>
  <si>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</si>
  <si>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</si>
  <si>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</si>
  <si>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</si>
  <si>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</si>
  <si>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</si>
  <si>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</si>
  <si>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</si>
  <si>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</si>
  <si>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</si>
  <si>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</si>
  <si>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</si>
  <si>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</si>
  <si>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</si>
  <si>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</si>
  <si>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</si>
  <si>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</si>
  <si>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</si>
  <si>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</si>
  <si>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</si>
  <si>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</si>
  <si>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</si>
  <si>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</si>
  <si>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</si>
  <si>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</si>
  <si>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</si>
  <si>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</si>
  <si>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</si>
  <si>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</si>
  <si>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</si>
  <si>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</si>
  <si>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</si>
  <si>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</si>
  <si>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</si>
  <si>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</si>
  <si>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</si>
  <si>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</si>
  <si>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</si>
  <si>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</si>
  <si>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</si>
  <si>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</si>
  <si>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</si>
  <si>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</si>
  <si>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</si>
  <si>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</si>
  <si>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</si>
  <si>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</si>
  <si>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</si>
  <si>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</si>
  <si>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</si>
  <si>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</si>
  <si>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</si>
  <si>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</si>
  <si>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</si>
  <si>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</si>
  <si>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</si>
  <si>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</si>
  <si>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</si>
  <si>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</si>
  <si>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</si>
  <si>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</si>
  <si>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</si>
  <si>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</si>
  <si>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</si>
  <si>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</si>
  <si>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</si>
  <si>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</si>
  <si>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</si>
  <si>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</si>
  <si>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</si>
  <si>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</si>
  <si>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</si>
  <si>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</si>
  <si>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</si>
  <si>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</si>
  <si>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</si>
  <si>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</si>
  <si>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</si>
  <si>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</si>
  <si>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</si>
  <si>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</si>
  <si>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</si>
  <si>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</si>
  <si>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</si>
  <si>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</si>
  <si>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</si>
  <si>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</si>
  <si>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</si>
  <si>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</si>
  <si>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</si>
  <si>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</si>
  <si>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</si>
  <si>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</si>
  <si>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</si>
  <si>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</si>
  <si>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</si>
  <si>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</si>
  <si>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</si>
  <si>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</si>
  <si>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</si>
  <si>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</si>
  <si>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</si>
  <si>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</si>
  <si>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</si>
  <si>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</si>
  <si>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</si>
  <si>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</si>
  <si>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</si>
  <si>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</si>
  <si>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</si>
  <si>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</si>
  <si>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</si>
  <si>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</si>
  <si>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</si>
  <si>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</si>
  <si>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</si>
  <si>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</si>
  <si>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</si>
  <si>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</si>
  <si>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</si>
  <si>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</si>
  <si>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</si>
  <si>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</si>
  <si>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</si>
  <si>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</si>
  <si>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</si>
  <si>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</si>
  <si>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</si>
  <si>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</si>
  <si>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</si>
  <si>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</si>
  <si>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</si>
  <si>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</si>
  <si>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</si>
  <si>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</si>
  <si>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</si>
  <si>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</si>
  <si>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</si>
  <si>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</si>
  <si>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</si>
  <si>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</si>
  <si>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</si>
  <si>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</si>
  <si>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</si>
  <si>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</si>
  <si>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</si>
  <si>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</si>
  <si>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</si>
  <si>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</si>
  <si>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</si>
  <si>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</si>
  <si>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</si>
  <si>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</si>
  <si>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</si>
  <si>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</si>
  <si>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</si>
  <si>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</si>
  <si>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</si>
  <si>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</si>
  <si>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</si>
  <si>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</si>
  <si>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</si>
  <si>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</si>
  <si>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</si>
  <si>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</si>
  <si>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</si>
  <si>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</si>
  <si>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</si>
  <si>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</si>
  <si>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</si>
  <si>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</si>
  <si>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</si>
  <si>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</si>
  <si>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</si>
  <si>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</si>
  <si>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</si>
  <si>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</si>
  <si>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</si>
  <si>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</si>
  <si>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</si>
  <si>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</si>
  <si>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</si>
  <si>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</si>
  <si>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</si>
  <si>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</si>
  <si>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</si>
  <si>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</si>
  <si>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</si>
  <si>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</si>
  <si>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</si>
  <si>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</si>
  <si>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</si>
  <si>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</si>
  <si>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</si>
  <si>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</si>
  <si>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</si>
  <si>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</si>
  <si>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</si>
  <si>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</si>
  <si>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</si>
  <si>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</si>
  <si>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</si>
  <si>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</si>
  <si>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</si>
  <si>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</si>
  <si>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</si>
  <si>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</si>
  <si>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</si>
  <si>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</si>
  <si>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</si>
  <si>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</si>
  <si>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</si>
  <si>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</si>
  <si>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</si>
  <si>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</si>
  <si>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</si>
  <si>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</si>
  <si>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</si>
  <si>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</si>
  <si>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</si>
  <si>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</si>
  <si>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</si>
  <si>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</si>
  <si>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</si>
  <si>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</si>
  <si>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</si>
  <si>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</si>
  <si>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</si>
  <si>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</si>
  <si>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</si>
  <si>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</si>
  <si>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</si>
  <si>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</si>
  <si>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</si>
  <si>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</si>
  <si>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</si>
  <si>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</si>
  <si>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</si>
  <si>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</si>
  <si>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</si>
  <si>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</si>
  <si>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</si>
  <si>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</si>
  <si>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</si>
  <si>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</si>
  <si>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</si>
  <si>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</si>
  <si>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</si>
  <si>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</si>
  <si>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</si>
  <si>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</si>
  <si>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</si>
  <si>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</si>
  <si>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</si>
  <si>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</si>
  <si>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</si>
  <si>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</si>
  <si>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</si>
  <si>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</si>
  <si>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</si>
  <si>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</si>
  <si>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</si>
  <si>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</si>
  <si>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</si>
  <si>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</si>
  <si>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</si>
  <si>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</si>
  <si>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</si>
  <si>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</si>
  <si>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</si>
  <si>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</si>
  <si>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</si>
  <si>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</si>
  <si>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</si>
  <si>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</si>
  <si>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</si>
  <si>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</si>
  <si>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</si>
  <si>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</si>
  <si>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</si>
  <si>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</si>
  <si>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</si>
  <si>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</si>
  <si>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</si>
  <si>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</si>
  <si>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</si>
  <si>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</si>
  <si>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</si>
  <si>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</si>
  <si>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</si>
  <si>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</si>
  <si>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</si>
  <si>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</si>
  <si>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</si>
  <si>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</si>
  <si>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</si>
  <si>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</si>
  <si>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</si>
  <si>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</si>
  <si>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</si>
  <si>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</si>
  <si>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</si>
  <si>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</si>
  <si>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</si>
  <si>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</si>
  <si>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</si>
  <si>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</si>
  <si>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</si>
  <si>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</si>
  <si>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</si>
  <si>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</si>
  <si>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</si>
  <si>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</si>
  <si>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</si>
  <si>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</si>
  <si>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</si>
  <si>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</si>
  <si>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</si>
  <si>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</si>
  <si>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</si>
  <si>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</si>
  <si>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</si>
  <si>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</si>
  <si>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</si>
  <si>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</si>
  <si>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</si>
  <si>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</si>
  <si>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</si>
  <si>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</si>
  <si>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</si>
  <si>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</si>
  <si>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</si>
  <si>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</si>
  <si>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</si>
  <si>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</si>
  <si>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</si>
  <si>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</si>
  <si>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</si>
  <si>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</si>
  <si>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</si>
  <si>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</si>
  <si>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</si>
  <si>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</si>
  <si>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</si>
  <si>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</si>
  <si>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</si>
  <si>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</si>
  <si>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</si>
  <si>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</si>
  <si>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</si>
  <si>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</si>
  <si>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</si>
  <si>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</si>
  <si>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</si>
  <si>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</si>
  <si>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</si>
  <si>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</si>
  <si>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</si>
  <si>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</si>
  <si>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</si>
  <si>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</si>
  <si>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</si>
  <si>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</si>
  <si>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</si>
  <si>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</si>
  <si>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</si>
  <si>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</si>
  <si>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</si>
  <si>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</si>
  <si>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</si>
  <si>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</si>
  <si>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</si>
  <si>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</si>
  <si>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</si>
  <si>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</si>
  <si>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</si>
  <si>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</si>
  <si>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</si>
  <si>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</si>
  <si>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</si>
  <si>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</si>
  <si>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</si>
  <si>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</si>
  <si>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</si>
  <si>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</si>
  <si>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</si>
  <si>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</si>
  <si>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</si>
  <si>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</si>
  <si>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</si>
  <si>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</si>
  <si>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</si>
  <si>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</si>
  <si>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</si>
  <si>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</si>
  <si>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</si>
  <si>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</si>
  <si>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</si>
  <si>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</si>
  <si>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</si>
  <si>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</si>
  <si>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</si>
  <si>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</si>
  <si>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</si>
  <si>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</si>
  <si>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</si>
  <si>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</si>
  <si>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</si>
  <si>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</si>
  <si>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</si>
  <si>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</si>
  <si>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</si>
  <si>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</si>
  <si>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</si>
  <si>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</si>
  <si>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</si>
  <si>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</si>
  <si>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</si>
  <si>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</si>
  <si>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</si>
  <si>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</si>
  <si>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</si>
  <si>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</si>
  <si>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</si>
  <si>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</si>
  <si>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</si>
  <si>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</si>
  <si>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</si>
  <si>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</si>
  <si>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</si>
  <si>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</si>
  <si>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</si>
  <si>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</si>
  <si>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</si>
  <si>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</si>
  <si>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</si>
  <si>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</si>
  <si>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</si>
  <si>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</si>
  <si>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</si>
  <si>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</si>
  <si>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</si>
  <si>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</si>
  <si>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</si>
  <si>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</si>
  <si>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</si>
  <si>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</si>
  <si>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</si>
  <si>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</si>
  <si>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</si>
  <si>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</si>
  <si>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</si>
  <si>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</si>
  <si>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</si>
  <si>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</si>
  <si>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</si>
  <si>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</si>
  <si>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</si>
  <si>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</si>
  <si>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</si>
  <si>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</si>
  <si>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</si>
  <si>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</si>
  <si>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</si>
  <si>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</si>
  <si>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</si>
  <si>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</si>
  <si>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</si>
  <si>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</si>
  <si>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</si>
  <si>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</si>
  <si>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</si>
  <si>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</si>
  <si>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</si>
  <si>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</si>
  <si>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</si>
  <si>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</si>
  <si>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</si>
  <si>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</si>
  <si>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</si>
  <si>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</si>
  <si>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</si>
  <si>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</si>
  <si>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</si>
  <si>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</si>
  <si>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</si>
  <si>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</si>
  <si>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</si>
  <si>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</si>
  <si>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</si>
  <si>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</si>
  <si>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</si>
  <si>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</si>
  <si>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</si>
  <si>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</si>
  <si>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</si>
  <si>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</si>
  <si>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</si>
  <si>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</si>
  <si>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</si>
  <si>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</si>
  <si>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</si>
  <si>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</si>
  <si>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</si>
  <si>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</si>
  <si>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</si>
  <si>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</si>
  <si>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</si>
  <si>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</si>
  <si>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</si>
  <si>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</si>
  <si>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</si>
  <si>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</si>
  <si>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</si>
  <si>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</si>
  <si>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</si>
  <si>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</si>
  <si>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</si>
  <si>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</si>
  <si>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</si>
  <si>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</si>
  <si>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</si>
  <si>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</si>
  <si>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</si>
  <si>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</si>
  <si>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</si>
  <si>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</si>
  <si>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</si>
  <si>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</si>
  <si>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</si>
  <si>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</si>
  <si>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</si>
  <si>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</si>
  <si>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</si>
  <si>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</si>
  <si>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</si>
  <si>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</si>
  <si>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</si>
  <si>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</si>
  <si>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</si>
  <si>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</si>
  <si>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</si>
  <si>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</si>
  <si>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</si>
  <si>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</si>
  <si>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</si>
  <si>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</si>
  <si>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</si>
  <si>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</si>
  <si>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</si>
  <si>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</si>
  <si>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</si>
  <si>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</si>
  <si>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</si>
  <si>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</si>
  <si>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</si>
  <si>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</si>
  <si>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</si>
  <si>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</si>
  <si>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</si>
  <si>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</si>
  <si>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</si>
  <si>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</si>
  <si>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</si>
  <si>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</si>
  <si>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</si>
  <si>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</si>
  <si>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</si>
  <si>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</si>
  <si>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</si>
  <si>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</si>
  <si>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</si>
  <si>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</si>
  <si>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</si>
  <si>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</si>
  <si>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</si>
  <si>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</si>
  <si>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</si>
  <si>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</si>
  <si>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</si>
  <si>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</si>
  <si>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</si>
  <si>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</si>
  <si>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</si>
  <si>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</si>
  <si>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</si>
  <si>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</si>
  <si>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</si>
  <si>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</si>
  <si>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</si>
  <si>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</si>
  <si>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</si>
  <si>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</si>
  <si>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</si>
  <si>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</si>
  <si>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</si>
  <si>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</si>
  <si>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</si>
  <si>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</si>
  <si>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</si>
  <si>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</si>
  <si>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</si>
  <si>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</si>
  <si>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</si>
  <si>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</si>
  <si>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</si>
  <si>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</si>
  <si>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</si>
  <si>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</si>
  <si>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</si>
  <si>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</si>
  <si>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</si>
  <si>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</si>
  <si>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</si>
  <si>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</si>
  <si>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</si>
  <si>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</si>
  <si>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</si>
  <si>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</si>
  <si>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</si>
  <si>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</si>
  <si>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</si>
  <si>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</si>
  <si>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</si>
  <si>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</si>
  <si>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</si>
  <si>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</si>
  <si>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</si>
  <si>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</si>
  <si>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</si>
  <si>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</si>
  <si>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</si>
  <si>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</si>
  <si>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</si>
  <si>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</si>
  <si>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</si>
  <si>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</si>
  <si>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</si>
  <si>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</si>
  <si>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</si>
  <si>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</si>
  <si>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</si>
  <si>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</si>
  <si>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</si>
  <si>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</si>
  <si>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</si>
  <si>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</si>
  <si>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</si>
  <si>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</si>
  <si>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</si>
  <si>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</si>
  <si>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</si>
  <si>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</si>
  <si>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</si>
  <si>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</si>
  <si>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</si>
  <si>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</si>
  <si>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</si>
  <si>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</si>
  <si>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</si>
  <si>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</si>
  <si>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</si>
  <si>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</si>
  <si>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</si>
  <si>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</si>
  <si>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</si>
  <si>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</si>
  <si>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</si>
  <si>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</si>
  <si>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</si>
  <si>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</si>
  <si>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</si>
  <si>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</si>
  <si>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</si>
  <si>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</si>
  <si>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</si>
  <si>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</si>
  <si>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</si>
  <si>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</si>
  <si>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</si>
  <si>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</si>
  <si>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</si>
  <si>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</si>
  <si>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</si>
  <si>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</si>
  <si>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</si>
  <si>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</si>
  <si>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</si>
  <si>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</si>
  <si>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</si>
  <si>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</si>
  <si>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</si>
  <si>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</si>
  <si>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</si>
  <si>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</si>
  <si>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</si>
  <si>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</si>
  <si>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</si>
  <si>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</si>
  <si>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</si>
  <si>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</si>
  <si>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</si>
  <si>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</si>
  <si>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</si>
  <si>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</si>
  <si>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</si>
  <si>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</si>
  <si>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</si>
  <si>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</si>
  <si>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</si>
  <si>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</si>
  <si>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</si>
  <si>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</si>
  <si>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</si>
  <si>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</si>
  <si>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</si>
  <si>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</si>
  <si>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</si>
  <si>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</si>
  <si>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</si>
  <si>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</si>
  <si>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</si>
  <si>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</si>
  <si>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</si>
  <si>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</si>
  <si>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</si>
  <si>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</si>
  <si>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</si>
  <si>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</si>
  <si>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</si>
  <si>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</si>
  <si>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</si>
  <si>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</si>
  <si>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</si>
  <si>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</si>
  <si>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</si>
  <si>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</si>
  <si>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</si>
  <si>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</si>
  <si>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</si>
  <si>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</si>
  <si>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</si>
  <si>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</si>
  <si>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</si>
  <si>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</si>
  <si>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</si>
  <si>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</si>
  <si>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</si>
  <si>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</si>
  <si>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</si>
  <si>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</si>
  <si>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</si>
  <si>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</si>
  <si>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</si>
  <si>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</si>
  <si>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</si>
  <si>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</si>
  <si>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</si>
  <si>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</si>
  <si>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</si>
  <si>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</si>
  <si>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</si>
  <si>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</si>
  <si>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</si>
  <si>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</si>
  <si>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</si>
  <si>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</si>
  <si>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</si>
  <si>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</si>
  <si>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</si>
  <si>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</si>
  <si>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</si>
  <si>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</si>
  <si>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</si>
  <si>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</si>
  <si>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</si>
  <si>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</si>
  <si>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</si>
  <si>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</si>
  <si>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</si>
  <si>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</si>
  <si>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</si>
  <si>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</si>
  <si>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</si>
  <si>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</si>
  <si>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</si>
  <si>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</si>
  <si>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</si>
  <si>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</si>
  <si>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</si>
  <si>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</si>
  <si>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</si>
  <si>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</si>
  <si>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</si>
  <si>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</si>
  <si>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</si>
  <si>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</si>
  <si>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</si>
  <si>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</si>
  <si>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</si>
  <si>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</si>
  <si>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</si>
  <si>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</si>
  <si>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</si>
  <si>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</si>
  <si>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</si>
  <si>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</si>
  <si>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</si>
  <si>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</si>
  <si>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</si>
  <si>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</si>
  <si>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</si>
  <si>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</si>
  <si>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</si>
  <si>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</si>
  <si>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</si>
  <si>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</si>
  <si>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</si>
  <si>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</si>
  <si>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</si>
  <si>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</si>
  <si>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</si>
  <si>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</si>
  <si>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</si>
  <si>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</si>
  <si>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</si>
  <si>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</si>
  <si>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</si>
  <si>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</si>
  <si>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</si>
  <si>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</si>
  <si>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</si>
  <si>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</si>
  <si>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</si>
  <si>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</si>
  <si>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</si>
  <si>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</si>
  <si>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</si>
  <si>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</si>
  <si>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</si>
  <si>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</si>
  <si>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</si>
  <si>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</si>
  <si>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</si>
  <si>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</si>
  <si>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</si>
  <si>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</si>
  <si>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</si>
  <si>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</si>
  <si>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</si>
  <si>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</si>
  <si>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</si>
  <si>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</si>
  <si>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</si>
  <si>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</si>
  <si>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</si>
  <si>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</si>
  <si>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</si>
  <si>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</si>
  <si>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</si>
  <si>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</si>
  <si>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</si>
  <si>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</si>
  <si>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</si>
  <si>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</si>
  <si>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</si>
  <si>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</si>
  <si>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</si>
  <si>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</si>
  <si>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</si>
  <si>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</si>
  <si>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</si>
  <si>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</si>
  <si>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</si>
  <si>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</si>
  <si>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</si>
  <si>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</si>
  <si>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</si>
  <si>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</si>
  <si>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</si>
  <si>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</si>
  <si>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</si>
  <si>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</si>
  <si>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</si>
  <si>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</si>
  <si>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</si>
  <si>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</si>
  <si>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</si>
  <si>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</si>
  <si>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</si>
  <si>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</si>
  <si>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</si>
  <si>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</si>
  <si>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</si>
  <si>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</si>
  <si>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</si>
  <si>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</si>
  <si>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</si>
  <si>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</si>
  <si>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</si>
  <si>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</si>
  <si>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</si>
  <si>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</si>
  <si>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</si>
  <si>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</si>
  <si>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</si>
  <si>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</si>
  <si>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</si>
  <si>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</si>
  <si>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</si>
  <si>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</si>
  <si>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</si>
  <si>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</si>
  <si>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</si>
  <si>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</si>
  <si>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</si>
  <si>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</si>
  <si>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</si>
  <si>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</si>
  <si>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</si>
  <si>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</si>
  <si>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</si>
  <si>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</si>
  <si>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</si>
  <si>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</si>
  <si>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</si>
  <si>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</si>
  <si>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</si>
  <si>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</si>
  <si>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</si>
  <si>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</si>
  <si>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</si>
  <si>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</si>
  <si>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</si>
  <si>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</si>
  <si>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</si>
  <si>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</si>
  <si>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</si>
  <si>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</si>
  <si>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</si>
  <si>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</si>
  <si>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</si>
  <si>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</si>
  <si>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</si>
  <si>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</si>
  <si>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</si>
  <si>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</si>
  <si>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</si>
  <si>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</si>
  <si>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</si>
  <si>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</si>
  <si>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</si>
  <si>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</si>
  <si>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</si>
  <si>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</si>
  <si>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</si>
  <si>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</si>
  <si>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</si>
  <si>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</si>
  <si>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</si>
  <si>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</si>
  <si>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</si>
  <si>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</si>
  <si>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</si>
  <si>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</si>
  <si>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</si>
  <si>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</si>
  <si>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</si>
  <si>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</si>
  <si>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</si>
  <si>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</si>
  <si>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</si>
  <si>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</si>
  <si>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</si>
  <si>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</si>
  <si>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</si>
  <si>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</si>
  <si>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</si>
  <si>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</si>
  <si>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</si>
  <si>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</si>
  <si>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</si>
  <si>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</si>
  <si>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</si>
  <si>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</si>
  <si>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</si>
  <si>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</si>
  <si>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</si>
  <si>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</si>
  <si>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</si>
  <si>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</si>
  <si>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</si>
  <si>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</si>
  <si>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</si>
  <si>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</si>
  <si>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</si>
  <si>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</si>
  <si>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</si>
  <si>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</si>
  <si>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</si>
  <si>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</si>
  <si>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</si>
  <si>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</si>
  <si>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</si>
  <si>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</si>
  <si>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</si>
  <si>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</si>
  <si>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</si>
  <si>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</si>
  <si>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</si>
  <si>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</si>
  <si>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</si>
  <si>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</si>
  <si>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</si>
  <si>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</si>
  <si>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</si>
  <si>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</si>
  <si>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</si>
  <si>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</si>
  <si>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</si>
  <si>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</si>
  <si>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</si>
  <si>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</si>
  <si>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</si>
  <si>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</si>
  <si>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</si>
  <si>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</si>
  <si>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</si>
  <si>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</si>
  <si>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</si>
  <si>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</si>
  <si>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</si>
  <si>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</si>
  <si>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</si>
  <si>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</si>
  <si>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</si>
  <si>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</si>
  <si>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</si>
  <si>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</si>
  <si>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</si>
  <si>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</si>
  <si>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</si>
  <si>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</si>
  <si>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</si>
  <si>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</si>
  <si>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</si>
  <si>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</si>
  <si>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</si>
  <si>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</si>
  <si>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</si>
  <si>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</si>
  <si>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</si>
  <si>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</si>
  <si>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</si>
  <si>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</si>
  <si>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</si>
  <si>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</si>
  <si>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</si>
  <si>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</si>
  <si>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</si>
  <si>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</si>
  <si>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</si>
  <si>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</si>
  <si>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</si>
  <si>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</si>
  <si>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</si>
  <si>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</si>
  <si>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</si>
  <si>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</si>
  <si>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</si>
  <si>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</si>
  <si>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</si>
  <si>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</si>
  <si>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</si>
  <si>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</si>
  <si>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</si>
  <si>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</si>
  <si>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</si>
  <si>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</si>
  <si>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</si>
  <si>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</si>
  <si>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</si>
  <si>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</si>
  <si>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</si>
  <si>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</si>
  <si>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</si>
  <si>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</si>
  <si>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</si>
  <si>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</si>
  <si>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</si>
  <si>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</si>
  <si>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</si>
  <si>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</si>
  <si>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</si>
  <si>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</si>
  <si>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</si>
  <si>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</si>
  <si>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</si>
  <si>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</si>
  <si>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</si>
  <si>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</si>
  <si>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</si>
  <si>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</si>
  <si>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</si>
  <si>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</si>
  <si>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</si>
  <si>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</si>
  <si>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</si>
  <si>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</si>
  <si>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</si>
  <si>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</si>
  <si>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</si>
  <si>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</si>
  <si>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</si>
  <si>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</si>
  <si>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</si>
  <si>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</si>
  <si>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</si>
  <si>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</si>
  <si>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</si>
  <si>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</si>
  <si>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</si>
  <si>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</si>
  <si>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</si>
  <si>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</si>
  <si>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</si>
  <si>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</si>
  <si>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</si>
  <si>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</si>
  <si>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</si>
  <si>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</si>
  <si>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</si>
  <si>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</si>
  <si>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</si>
  <si>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</si>
  <si>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</si>
  <si>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</si>
  <si>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</si>
  <si>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</si>
  <si>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</si>
  <si>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</si>
  <si>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</si>
  <si>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</si>
  <si>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</si>
  <si>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</si>
  <si>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</si>
  <si>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</si>
  <si>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</si>
  <si>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</si>
  <si>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</si>
  <si>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</si>
  <si>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</si>
  <si>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</si>
  <si>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</si>
  <si>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</si>
  <si>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</si>
  <si>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</si>
  <si>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</si>
  <si>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</si>
  <si>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</si>
  <si>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</si>
  <si>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</si>
  <si>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</si>
  <si>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</si>
  <si>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</si>
  <si>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</si>
  <si>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</si>
  <si>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</si>
  <si>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</si>
  <si>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</si>
  <si>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</si>
  <si>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</si>
  <si>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</si>
  <si>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</si>
  <si>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</si>
  <si>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</si>
  <si>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</si>
  <si>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</si>
  <si>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</si>
  <si>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</si>
  <si>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</si>
  <si>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</si>
  <si>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</si>
  <si>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</si>
  <si>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</si>
  <si>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</si>
  <si>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</si>
  <si>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</si>
  <si>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</si>
  <si>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</si>
  <si>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</si>
  <si>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</si>
  <si>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</si>
  <si>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</si>
  <si>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</si>
  <si>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</si>
  <si>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</si>
  <si>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</si>
  <si>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</si>
  <si>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</si>
  <si>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</si>
  <si>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</si>
  <si>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</si>
  <si>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</si>
  <si>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</si>
  <si>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</si>
  <si>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</si>
  <si>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</si>
  <si>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</si>
  <si>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</si>
  <si>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</si>
  <si>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</si>
  <si>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</si>
  <si>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</si>
  <si>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</si>
  <si>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</si>
  <si>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</si>
  <si>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</si>
  <si>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</si>
  <si>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</si>
  <si>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</si>
  <si>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</si>
  <si>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</si>
  <si>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</si>
  <si>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</si>
  <si>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</si>
  <si>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</si>
  <si>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</si>
  <si>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</si>
  <si>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</si>
  <si>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</si>
  <si>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</si>
  <si>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</si>
  <si>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</si>
  <si>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</si>
  <si>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</si>
  <si>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</si>
  <si>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</si>
  <si>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</si>
  <si>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</si>
  <si>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</si>
  <si>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</si>
  <si>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</si>
  <si>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</si>
  <si>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</si>
  <si>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</si>
  <si>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</si>
  <si>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</si>
  <si>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</si>
  <si>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</si>
  <si>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</si>
  <si>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</si>
  <si>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</si>
  <si>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</si>
  <si>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</si>
  <si>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</si>
  <si>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</si>
  <si>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</si>
  <si>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</si>
  <si>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</si>
  <si>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</si>
  <si>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</si>
  <si>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</si>
  <si>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</si>
  <si>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</si>
  <si>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</si>
  <si>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</si>
  <si>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</si>
  <si>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</si>
  <si>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</si>
  <si>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</si>
  <si>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</si>
  <si>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</si>
  <si>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</si>
  <si>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</si>
  <si>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</si>
  <si>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</si>
  <si>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</si>
  <si>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</si>
  <si>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</si>
  <si>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</si>
  <si>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</si>
  <si>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</si>
  <si>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</si>
  <si>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</si>
  <si>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</si>
  <si>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</si>
  <si>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</si>
  <si>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</si>
  <si>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</si>
  <si>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</si>
  <si>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</si>
  <si>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</si>
  <si>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</si>
  <si>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</si>
  <si>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</si>
  <si>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</si>
  <si>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</si>
  <si>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</si>
  <si>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</si>
  <si>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</si>
  <si>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</si>
  <si>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</si>
  <si>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</si>
  <si>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</si>
  <si>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</si>
  <si>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</si>
  <si>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</si>
  <si>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</si>
  <si>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</si>
  <si>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</si>
  <si>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</si>
  <si>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</si>
  <si>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</si>
  <si>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</si>
  <si>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</si>
  <si>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</si>
  <si>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</si>
  <si>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</si>
  <si>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</si>
  <si>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</si>
  <si>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</si>
  <si>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</si>
  <si>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</si>
  <si>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</si>
  <si>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</si>
  <si>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</si>
  <si>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</si>
  <si>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</si>
  <si>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</si>
  <si>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</si>
  <si>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</si>
  <si>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</si>
  <si>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</si>
  <si>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</si>
  <si>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</si>
  <si>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</si>
  <si>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</si>
  <si>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</si>
  <si>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</si>
  <si>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</si>
  <si>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</si>
  <si>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</si>
  <si>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</si>
  <si>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</si>
  <si>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</si>
  <si>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</si>
  <si>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</si>
  <si>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</si>
  <si>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</si>
  <si>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</si>
  <si>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</si>
  <si>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</si>
  <si>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</si>
  <si>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</si>
  <si>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</si>
  <si>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</si>
  <si>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</si>
  <si>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</si>
  <si>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</si>
  <si>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</si>
  <si>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</si>
  <si>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</si>
  <si>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</si>
  <si>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</si>
  <si>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</si>
  <si>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</si>
  <si>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</si>
  <si>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</si>
  <si>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</si>
  <si>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</si>
  <si>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</si>
  <si>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</si>
  <si>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</si>
  <si>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</si>
  <si>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</si>
  <si>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</si>
  <si>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</si>
  <si>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</si>
  <si>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</si>
  <si>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</si>
  <si>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</si>
  <si>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</si>
  <si>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</si>
  <si>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</si>
  <si>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</si>
  <si>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</si>
  <si>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</si>
  <si>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</si>
  <si>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</si>
  <si>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</si>
  <si>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</si>
  <si>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</si>
  <si>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</si>
  <si>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</si>
  <si>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</si>
  <si>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</si>
  <si>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</si>
  <si>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</si>
  <si>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</si>
  <si>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</si>
  <si>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</si>
  <si>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</si>
  <si>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</si>
  <si>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</si>
  <si>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</si>
  <si>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</si>
  <si>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</si>
  <si>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</si>
  <si>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</si>
  <si>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</si>
  <si>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</si>
  <si>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</si>
  <si>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</si>
  <si>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</si>
  <si>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</si>
  <si>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</si>
  <si>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</si>
  <si>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</si>
  <si>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</si>
  <si>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</si>
  <si>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</si>
  <si>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</si>
  <si>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</si>
  <si>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</si>
  <si>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</si>
  <si>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</si>
  <si>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</si>
  <si>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</si>
  <si>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</si>
  <si>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</si>
  <si>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</si>
  <si>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</si>
  <si>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</si>
  <si>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</si>
  <si>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</si>
  <si>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</si>
  <si>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</si>
  <si>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</si>
  <si>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</si>
  <si>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</si>
  <si>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</si>
  <si>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</si>
  <si>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</si>
  <si>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</si>
  <si>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</si>
  <si>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</si>
  <si>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</si>
  <si>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</si>
  <si>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</si>
  <si>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</si>
  <si>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</si>
  <si>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</si>
  <si>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</si>
  <si>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</si>
  <si>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</si>
  <si>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</si>
  <si>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</si>
  <si>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</si>
  <si>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</si>
  <si>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</si>
  <si>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</si>
  <si>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</si>
  <si>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</si>
  <si>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</si>
  <si>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</si>
  <si>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</si>
  <si>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</si>
  <si>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</si>
  <si>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</si>
  <si>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</si>
  <si>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</si>
  <si>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</si>
  <si>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</si>
  <si>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</si>
  <si>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</si>
  <si>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</si>
  <si>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</si>
  <si>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</si>
  <si>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</si>
  <si>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</si>
  <si>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</si>
  <si>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</si>
  <si>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</si>
  <si>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</si>
  <si>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</si>
  <si>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</si>
  <si>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</si>
  <si>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</si>
  <si>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</si>
  <si>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</si>
  <si>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</si>
  <si>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</si>
  <si>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</si>
  <si>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</si>
  <si>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</si>
  <si>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</si>
  <si>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</si>
  <si>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</si>
  <si>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</si>
  <si>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</si>
  <si>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</si>
  <si>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</si>
  <si>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</si>
  <si>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</si>
  <si>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</si>
  <si>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</si>
  <si>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</si>
  <si>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</si>
  <si>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</si>
  <si>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</si>
  <si>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</si>
  <si>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</si>
  <si>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</si>
  <si>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</si>
  <si>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</si>
  <si>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</si>
  <si>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</si>
  <si>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</si>
  <si>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</si>
  <si>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</si>
  <si>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</si>
  <si>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</si>
  <si>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</si>
  <si>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</si>
  <si>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</si>
  <si>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</si>
  <si>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</si>
  <si>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</si>
  <si>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</si>
  <si>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</si>
  <si>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</si>
  <si>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</si>
  <si>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</si>
  <si>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</si>
  <si>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</si>
  <si>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</si>
  <si>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</si>
  <si>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</si>
  <si>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</si>
  <si>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</si>
  <si>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</si>
  <si>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</si>
  <si>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</si>
  <si>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</si>
  <si>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</si>
  <si>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</si>
  <si>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</si>
  <si>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</si>
  <si>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</si>
  <si>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</si>
  <si>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</si>
  <si>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</si>
  <si>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</si>
  <si>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</si>
  <si>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</si>
  <si>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</si>
  <si>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</si>
  <si>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</si>
  <si>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</si>
  <si>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</si>
  <si>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</si>
  <si>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</si>
  <si>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</si>
  <si>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</si>
  <si>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</si>
  <si>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IsMO</t>
  </si>
  <si>
    <t>MO</t>
  </si>
  <si>
    <t>Doorverdund</t>
  </si>
  <si>
    <t>Doorverdunningstekst</t>
  </si>
  <si>
    <t>Patient:</t>
  </si>
  <si>
    <t>Naam arts:</t>
  </si>
  <si>
    <t>Tijd:</t>
  </si>
  <si>
    <t>Nummer:</t>
  </si>
  <si>
    <t>17:00 uur Afspraken</t>
  </si>
  <si>
    <t>0.10.14-beta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</si>
</sst>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53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0" xfId="100" applyFont="1" applyFill="1" applyProtection="1">
      <protection locked="0"/>
    </xf>
    <xf numFmtId="0" fontId="12" fillId="0" borderId="0" xfId="10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2" fillId="26" borderId="0" xfId="42" applyFont="1" applyFill="1" applyAlignment="1" applyProtection="1">
      <alignment wrapText="1"/>
    </xf>
    <xf numFmtId="0" fontId="0" fillId="26" borderId="0" xfId="0" applyFill="1" applyAlignment="1" applyProtection="1">
      <alignment wrapText="1"/>
    </xf>
    <xf numFmtId="0" fontId="12" fillId="26" borderId="0" xfId="42" applyFont="1" applyFill="1" applyProtection="1"/>
    <xf numFmtId="0" fontId="0" fillId="26" borderId="0" xfId="0" applyFill="1" applyProtection="1"/>
    <xf numFmtId="0" fontId="14" fillId="26" borderId="0" xfId="42" applyFont="1" applyFill="1" applyAlignment="1" applyProtection="1">
      <alignment wrapText="1"/>
    </xf>
    <xf numFmtId="0" fontId="12" fillId="26" borderId="65" xfId="0" applyFont="1" applyFill="1" applyBorder="1" applyProtection="1"/>
    <xf numFmtId="0" fontId="12" fillId="26" borderId="66" xfId="0" applyFont="1" applyFill="1" applyBorder="1" applyProtection="1"/>
    <xf numFmtId="0" fontId="12" fillId="26" borderId="0" xfId="0" applyFont="1" applyFill="1" applyProtection="1"/>
    <xf numFmtId="0" fontId="12" fillId="26" borderId="67" xfId="0" applyFont="1" applyFill="1" applyBorder="1" applyProtection="1"/>
    <xf numFmtId="0" fontId="12" fillId="26" borderId="68" xfId="0" applyFont="1" applyFill="1" applyBorder="1" applyProtection="1"/>
    <xf numFmtId="0" fontId="12" fillId="26" borderId="67" xfId="0" applyFont="1" applyFill="1" applyBorder="1" applyAlignment="1" applyProtection="1">
      <alignment wrapText="1"/>
    </xf>
    <xf numFmtId="0" fontId="12" fillId="26" borderId="68" xfId="0" applyFont="1" applyFill="1" applyBorder="1" applyAlignment="1" applyProtection="1">
      <alignment wrapText="1"/>
    </xf>
    <xf numFmtId="0" fontId="12" fillId="26" borderId="0" xfId="0" applyFont="1" applyFill="1" applyAlignment="1" applyProtection="1">
      <alignment wrapText="1"/>
    </xf>
    <xf numFmtId="0" fontId="0" fillId="0" borderId="0" xfId="0" applyFill="1" applyProtection="1"/>
    <xf numFmtId="0" fontId="12" fillId="0" borderId="0" xfId="0" applyFont="1" applyFill="1" applyProtection="1"/>
    <xf numFmtId="0" fontId="12" fillId="26" borderId="69" xfId="0" applyFont="1" applyFill="1" applyBorder="1" applyProtection="1"/>
    <xf numFmtId="0" fontId="12" fillId="26" borderId="70" xfId="0" applyFont="1" applyFill="1" applyBorder="1" applyProtection="1"/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5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2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108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108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354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671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671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46"/>
  </cols>
  <sheetData>
    <row r="7" spans="4:18" x14ac:dyDescent="0.2">
      <c r="D7" s="499"/>
      <c r="E7" s="499"/>
      <c r="F7" s="499"/>
      <c r="G7" s="499"/>
      <c r="H7" s="499"/>
      <c r="I7" s="499"/>
      <c r="J7" s="499"/>
      <c r="K7" s="499"/>
      <c r="L7" s="499"/>
      <c r="M7" s="499"/>
      <c r="N7" s="499"/>
      <c r="O7" s="499"/>
      <c r="P7" s="499"/>
      <c r="Q7" s="499"/>
      <c r="R7" s="499"/>
    </row>
    <row r="8" spans="4:18" x14ac:dyDescent="0.2">
      <c r="D8" s="500"/>
      <c r="E8" s="500"/>
      <c r="F8" s="500"/>
      <c r="G8" s="500"/>
      <c r="H8" s="500"/>
      <c r="I8" s="500"/>
      <c r="J8" s="500"/>
      <c r="K8" s="500"/>
      <c r="L8" s="500"/>
      <c r="M8" s="500"/>
      <c r="N8" s="500"/>
      <c r="O8" s="500"/>
      <c r="P8" s="500"/>
      <c r="Q8" s="500"/>
      <c r="R8" s="500"/>
    </row>
    <row r="9" spans="4:18" ht="59.25" x14ac:dyDescent="0.75">
      <c r="D9" s="500"/>
      <c r="E9" s="501" t="s">
        <v>4510</v>
      </c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</row>
    <row r="10" spans="4:18" ht="19.5" customHeight="1" x14ac:dyDescent="0.75">
      <c r="D10" s="500"/>
      <c r="E10" s="501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</row>
    <row r="11" spans="4:18" ht="59.25" x14ac:dyDescent="0.75">
      <c r="D11" s="500"/>
      <c r="E11" s="501" t="s">
        <v>4509</v>
      </c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</row>
    <row r="12" spans="4:18" ht="59.25" x14ac:dyDescent="0.75">
      <c r="D12" s="500"/>
      <c r="E12" s="501"/>
      <c r="F12" s="500"/>
      <c r="G12" s="500"/>
      <c r="H12" s="500"/>
      <c r="I12" s="500"/>
      <c r="J12" s="500"/>
      <c r="K12" s="500"/>
      <c r="L12" s="500"/>
      <c r="M12" s="500"/>
      <c r="N12" s="500"/>
      <c r="O12" s="500"/>
      <c r="P12" s="500"/>
      <c r="Q12" s="500"/>
      <c r="R12" s="500"/>
    </row>
    <row r="13" spans="4:18" ht="33" x14ac:dyDescent="0.45">
      <c r="D13" s="500"/>
      <c r="E13" s="502" t="s">
        <v>3747</v>
      </c>
      <c r="F13" s="500"/>
      <c r="G13" s="530" t="s">
        <v>7086</v>
      </c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</row>
    <row r="14" spans="4:18" x14ac:dyDescent="0.2"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</row>
    <row r="15" spans="4:18" x14ac:dyDescent="0.2"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7" customWidth="1"/>
    <col min="2" max="3" width="5.42578125" style="377" customWidth="1"/>
    <col min="4" max="4" width="3.140625" style="377" customWidth="1"/>
    <col min="5" max="5" width="23.5703125" style="377" customWidth="1"/>
    <col min="6" max="6" width="9.42578125" style="377" customWidth="1"/>
    <col min="7" max="7" width="9.140625" style="377"/>
    <col min="8" max="8" width="9.5703125" style="377" customWidth="1"/>
    <col min="9" max="9" width="26" style="377" customWidth="1"/>
    <col min="10" max="10" width="14.5703125" style="377" customWidth="1"/>
    <col min="11" max="11" width="10.7109375" style="377" customWidth="1"/>
    <col min="12" max="12" width="9.140625" style="377"/>
    <col min="13" max="13" width="9.28515625" style="377" customWidth="1"/>
    <col min="14" max="14" width="17.5703125" style="377" customWidth="1"/>
    <col min="15" max="15" width="5.28515625" style="377" customWidth="1"/>
    <col min="16" max="16" width="7" style="377" customWidth="1"/>
    <col min="17" max="17" width="11" style="377" customWidth="1"/>
    <col min="18" max="18" width="10.140625" style="377" customWidth="1"/>
    <col min="19" max="19" width="9.140625" style="377"/>
    <col min="20" max="20" width="40.28515625" style="377" customWidth="1"/>
    <col min="21" max="16384" width="9.140625" style="377"/>
  </cols>
  <sheetData>
    <row r="1" spans="2:68" s="374" customFormat="1" ht="17.25" customHeight="1" x14ac:dyDescent="0.2">
      <c r="B1" s="656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</row>
    <row r="2" spans="2:68" s="374" customFormat="1" ht="17.25" customHeight="1" x14ac:dyDescent="0.2">
      <c r="B2" s="644"/>
      <c r="C2" s="644"/>
      <c r="D2" s="644"/>
      <c r="E2" s="644"/>
      <c r="F2" s="647" t="s">
        <v>235</v>
      </c>
      <c r="G2" s="644" t="str">
        <f ca="1">Txt_Pat_AfspraakDat</f>
        <v>24-sep-2017</v>
      </c>
      <c r="H2" s="648"/>
      <c r="I2" s="649"/>
      <c r="J2" s="647"/>
      <c r="K2" s="647"/>
      <c r="L2" s="657" t="s">
        <v>242</v>
      </c>
      <c r="M2" s="644"/>
      <c r="N2" s="644" t="str">
        <f ca="1">Txt_Pat_GeboorteDat</f>
        <v/>
      </c>
      <c r="O2" s="647"/>
      <c r="P2" s="644"/>
      <c r="Q2" s="644"/>
      <c r="R2" s="647" t="str">
        <f>Txt_Pat_Gewicht</f>
        <v>Gewicht:</v>
      </c>
      <c r="S2" s="647"/>
      <c r="T2" s="644" t="str">
        <f>Txt_Pat_Bed</f>
        <v/>
      </c>
    </row>
    <row r="3" spans="2:68" s="374" customFormat="1" ht="17.25" customHeight="1" x14ac:dyDescent="0.2">
      <c r="B3" s="644"/>
      <c r="C3" s="644"/>
      <c r="D3" s="644"/>
      <c r="E3" s="644"/>
      <c r="F3" s="647" t="s">
        <v>27</v>
      </c>
      <c r="G3" s="644" t="str">
        <f>Txt_Pat_FullName</f>
        <v/>
      </c>
      <c r="H3" s="652"/>
      <c r="I3" s="652"/>
      <c r="J3" s="647"/>
      <c r="K3" s="647"/>
      <c r="L3" s="658" t="s">
        <v>213</v>
      </c>
      <c r="M3" s="644"/>
      <c r="N3" s="644" t="str">
        <f ca="1">Txt_Pat_Leeftijd</f>
        <v/>
      </c>
      <c r="O3" s="647"/>
      <c r="P3" s="644"/>
      <c r="Q3" s="644"/>
      <c r="R3" s="647" t="str">
        <f>Txt_Pat_Lengte</f>
        <v>Lengte:</v>
      </c>
      <c r="S3" s="644"/>
      <c r="T3" s="644"/>
    </row>
    <row r="4" spans="2:68" s="374" customFormat="1" ht="17.25" customHeight="1" x14ac:dyDescent="0.2">
      <c r="B4" s="644"/>
      <c r="C4" s="644"/>
      <c r="D4" s="644"/>
      <c r="E4" s="644"/>
      <c r="F4" s="653" t="s">
        <v>3493</v>
      </c>
      <c r="G4" s="644" t="str">
        <f>Txt_Pat_PatNo</f>
        <v/>
      </c>
      <c r="H4" s="647"/>
      <c r="I4" s="649"/>
      <c r="J4" s="647"/>
      <c r="K4" s="647"/>
      <c r="L4" s="644" t="s">
        <v>5391</v>
      </c>
      <c r="M4" s="644"/>
      <c r="N4" s="644" t="str">
        <f>Txt_Pat_Geslacht</f>
        <v>onbekend</v>
      </c>
      <c r="O4" s="647"/>
      <c r="P4" s="644"/>
      <c r="Q4" s="647"/>
      <c r="R4" s="647" t="str">
        <f>Txt_Pat_Oppervlak</f>
        <v>Lichamelijk oppervlak:</v>
      </c>
      <c r="S4" s="644"/>
      <c r="T4" s="644"/>
    </row>
    <row r="5" spans="2:68" s="374" customFormat="1" ht="8.1" customHeight="1" x14ac:dyDescent="0.2">
      <c r="B5" s="644"/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</row>
    <row r="6" spans="2:68" s="482" customFormat="1" ht="8.1" customHeight="1" x14ac:dyDescent="0.2"/>
    <row r="7" spans="2:68" s="482" customFormat="1" ht="20.100000000000001" customHeight="1" x14ac:dyDescent="0.2">
      <c r="B7" s="691" t="s">
        <v>3492</v>
      </c>
      <c r="C7" s="691" t="s">
        <v>3324</v>
      </c>
      <c r="D7" s="690"/>
      <c r="E7" s="690" t="s">
        <v>884</v>
      </c>
      <c r="F7" s="689" t="s">
        <v>261</v>
      </c>
      <c r="G7" s="688"/>
      <c r="H7" s="690"/>
      <c r="I7" s="690"/>
      <c r="J7" s="690" t="s">
        <v>157</v>
      </c>
      <c r="K7" s="690" t="s">
        <v>486</v>
      </c>
      <c r="L7" s="690"/>
      <c r="M7" s="690" t="s">
        <v>355</v>
      </c>
      <c r="N7" s="690" t="s">
        <v>262</v>
      </c>
      <c r="O7" s="690" t="s">
        <v>113</v>
      </c>
      <c r="P7" s="690"/>
      <c r="Q7" s="690"/>
      <c r="R7" s="690" t="s">
        <v>3328</v>
      </c>
      <c r="S7" s="690" t="s">
        <v>299</v>
      </c>
      <c r="T7" s="690" t="s">
        <v>184</v>
      </c>
    </row>
    <row r="8" spans="2:68" ht="8.1" customHeight="1" x14ac:dyDescent="0.2">
      <c r="B8" s="363"/>
      <c r="C8" s="363"/>
      <c r="D8" s="363"/>
      <c r="E8" s="363"/>
      <c r="F8" s="375"/>
      <c r="G8" s="376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54"/>
      <c r="V8" s="354"/>
      <c r="W8" s="354"/>
      <c r="X8" s="482"/>
      <c r="Y8" s="482"/>
      <c r="Z8" s="482"/>
    </row>
    <row r="9" spans="2:68" ht="20.100000000000001" customHeight="1" thickBot="1" x14ac:dyDescent="0.25">
      <c r="B9" s="534" t="str">
        <f>GlobBerMedDisc!AN2</f>
        <v/>
      </c>
      <c r="C9" s="534" t="str">
        <f>GlobBerMedDisc!AQ2</f>
        <v/>
      </c>
      <c r="D9" s="678">
        <v>1</v>
      </c>
      <c r="E9" s="780" t="str">
        <f>IF(LEN(GlobBerMedDisc!B2)&gt;20, LEFT(GlobBerMedDisc!B2,20)&amp;"…",IF(LEN(GlobBerMedDisc!B2)&gt;0,GlobBerMedDisc!B2,""))</f>
        <v/>
      </c>
      <c r="F9" s="829" t="str">
        <f>GlobBerMedDisc!AR2</f>
        <v/>
      </c>
      <c r="G9" s="829"/>
      <c r="H9" s="829"/>
      <c r="I9" s="829"/>
      <c r="J9" s="780" t="str">
        <f>GlobBerMedDisc!X2</f>
        <v/>
      </c>
      <c r="K9" s="539" t="str">
        <f>IF(GlobBerMedDisc!C2&gt;1,GlobBerMedDisc!H2,"")</f>
        <v/>
      </c>
      <c r="L9" s="540" t="str">
        <f>IF(GlobBerMedDisc!C2&gt;1,GlobBerMedDisc!F2,"")</f>
        <v/>
      </c>
      <c r="M9" s="507" t="str">
        <f>GlobBerMedDisc!Z2</f>
        <v/>
      </c>
      <c r="N9" s="507" t="str">
        <f>GlobBerMedDisc!AO2</f>
        <v/>
      </c>
      <c r="O9" s="507" t="str">
        <f>IF(AND(GlobBerMedDisc!C2&gt;1,GlobBerMedDisc!P2&gt;1),GlobBerMedDisc!O2,"")</f>
        <v/>
      </c>
      <c r="P9" s="507" t="str">
        <f>IF(AND(GlobBerMedDisc!C2&gt;1,O9&lt;&gt;0,GlobBerMedDisc!P2&gt;1),"ml","")</f>
        <v/>
      </c>
      <c r="Q9" s="507"/>
      <c r="R9" s="507" t="str">
        <f>GlobBerMedDisc!AP2</f>
        <v/>
      </c>
      <c r="S9" s="507" t="str">
        <f>IF(AND(O9&lt;&gt;"",GlobBerMedDisc!R2&gt;0),GlobBerMedDisc!R2&amp;" min","")</f>
        <v/>
      </c>
      <c r="T9" s="507" t="str">
        <f>GlobBerMedDisc!AS2</f>
        <v/>
      </c>
      <c r="U9" s="482"/>
      <c r="V9" s="482"/>
      <c r="W9" s="482"/>
      <c r="X9" s="482"/>
      <c r="Y9" s="482"/>
      <c r="Z9" s="482"/>
    </row>
    <row r="10" spans="2:68" ht="20.100000000000001" customHeight="1" thickTop="1" thickBot="1" x14ac:dyDescent="0.25">
      <c r="B10" s="534" t="str">
        <f>GlobBerMedDisc!AN3</f>
        <v/>
      </c>
      <c r="C10" s="534" t="str">
        <f>GlobBerMedDisc!AQ3</f>
        <v/>
      </c>
      <c r="D10" s="678">
        <v>2</v>
      </c>
      <c r="E10" s="485" t="str">
        <f>IF(LEN(GlobBerMedDisc!B3)&gt;20, LEFT(GlobBerMedDisc!B3,20)&amp;"…",IF(LEN(GlobBerMedDisc!B3)&gt;0,GlobBerMedDisc!B3,""))</f>
        <v/>
      </c>
      <c r="F10" s="827" t="str">
        <f>GlobBerMedDisc!AR3</f>
        <v/>
      </c>
      <c r="G10" s="827"/>
      <c r="H10" s="827"/>
      <c r="I10" s="827"/>
      <c r="J10" s="485" t="str">
        <f>GlobBerMedDisc!X3</f>
        <v/>
      </c>
      <c r="K10" s="486" t="str">
        <f>IF(GlobBerMedDisc!C3&gt;1,GlobBerMedDisc!H3,"")</f>
        <v/>
      </c>
      <c r="L10" s="487" t="str">
        <f>IF(GlobBerMedDisc!C3&gt;1,GlobBerMedDisc!F3,"")</f>
        <v/>
      </c>
      <c r="M10" s="488" t="str">
        <f>GlobBerMedDisc!Z3</f>
        <v/>
      </c>
      <c r="N10" s="488" t="str">
        <f>GlobBerMedDisc!AO3</f>
        <v/>
      </c>
      <c r="O10" s="488" t="str">
        <f>IF(AND(GlobBerMedDisc!C3&gt;1,GlobBerMedDisc!P3&gt;1),GlobBerMedDisc!O3,"")</f>
        <v/>
      </c>
      <c r="P10" s="488" t="str">
        <f>IF(AND(GlobBerMedDisc!C3&gt;1,O10&lt;&gt;0,GlobBerMedDisc!P3&gt;1),"ml","")</f>
        <v/>
      </c>
      <c r="Q10" s="488"/>
      <c r="R10" s="488" t="str">
        <f>GlobBerMedDisc!AP3</f>
        <v/>
      </c>
      <c r="S10" s="488" t="str">
        <f>IF(AND(O10&lt;&gt;"",GlobBerMedDisc!R3&gt;0),GlobBerMedDisc!R3&amp;" min","")</f>
        <v/>
      </c>
      <c r="T10" s="488" t="str">
        <f>GlobBerMedDisc!AS3</f>
        <v/>
      </c>
      <c r="U10" s="482"/>
      <c r="V10" s="482"/>
      <c r="W10" s="482"/>
      <c r="X10" s="482"/>
      <c r="Y10" s="482"/>
      <c r="Z10" s="482"/>
    </row>
    <row r="11" spans="2:68" ht="20.100000000000001" customHeight="1" thickTop="1" thickBot="1" x14ac:dyDescent="0.25">
      <c r="B11" s="534" t="str">
        <f>GlobBerMedDisc!AN4</f>
        <v/>
      </c>
      <c r="C11" s="534" t="str">
        <f>GlobBerMedDisc!AQ4</f>
        <v/>
      </c>
      <c r="D11" s="678">
        <v>3</v>
      </c>
      <c r="E11" s="485" t="str">
        <f>IF(LEN(GlobBerMedDisc!B4)&gt;20, LEFT(GlobBerMedDisc!B4,20)&amp;"…",IF(LEN(GlobBerMedDisc!B4)&gt;0,GlobBerMedDisc!B4,""))</f>
        <v/>
      </c>
      <c r="F11" s="827" t="str">
        <f>GlobBerMedDisc!AR4</f>
        <v/>
      </c>
      <c r="G11" s="827"/>
      <c r="H11" s="827"/>
      <c r="I11" s="827"/>
      <c r="J11" s="485" t="str">
        <f>GlobBerMedDisc!X4</f>
        <v/>
      </c>
      <c r="K11" s="486" t="str">
        <f>IF(GlobBerMedDisc!C4&gt;1,GlobBerMedDisc!H4,"")</f>
        <v/>
      </c>
      <c r="L11" s="487" t="str">
        <f>IF(GlobBerMedDisc!C4&gt;1,GlobBerMedDisc!F4,"")</f>
        <v/>
      </c>
      <c r="M11" s="488" t="str">
        <f>GlobBerMedDisc!Z4</f>
        <v/>
      </c>
      <c r="N11" s="488" t="str">
        <f>GlobBerMedDisc!AO4</f>
        <v/>
      </c>
      <c r="O11" s="488" t="str">
        <f>IF(AND(GlobBerMedDisc!C4&gt;1,GlobBerMedDisc!P4&gt;1),GlobBerMedDisc!O4,"")</f>
        <v/>
      </c>
      <c r="P11" s="488" t="str">
        <f>IF(AND(GlobBerMedDisc!C4&gt;1,O11&lt;&gt;0,GlobBerMedDisc!P4&gt;1),"ml","")</f>
        <v/>
      </c>
      <c r="Q11" s="488"/>
      <c r="R11" s="488" t="str">
        <f>GlobBerMedDisc!AP4</f>
        <v/>
      </c>
      <c r="S11" s="488" t="str">
        <f>IF(AND(O11&lt;&gt;"",GlobBerMedDisc!R4&gt;0),GlobBerMedDisc!R4&amp;" min","")</f>
        <v/>
      </c>
      <c r="T11" s="488" t="str">
        <f>GlobBerMedDisc!AS4</f>
        <v/>
      </c>
      <c r="U11" s="482"/>
      <c r="V11" s="482"/>
      <c r="W11" s="482"/>
      <c r="X11" s="482"/>
      <c r="Y11" s="482"/>
      <c r="Z11" s="482"/>
    </row>
    <row r="12" spans="2:68" ht="20.100000000000001" customHeight="1" thickTop="1" thickBot="1" x14ac:dyDescent="0.25">
      <c r="B12" s="534" t="str">
        <f>GlobBerMedDisc!AN5</f>
        <v/>
      </c>
      <c r="C12" s="534" t="str">
        <f>GlobBerMedDisc!AQ5</f>
        <v/>
      </c>
      <c r="D12" s="678">
        <v>4</v>
      </c>
      <c r="E12" s="485" t="str">
        <f>IF(LEN(GlobBerMedDisc!B5)&gt;20, LEFT(GlobBerMedDisc!B5,20)&amp;"…",IF(LEN(GlobBerMedDisc!B5)&gt;0,GlobBerMedDisc!B5,""))</f>
        <v/>
      </c>
      <c r="F12" s="827" t="str">
        <f>GlobBerMedDisc!AR5</f>
        <v/>
      </c>
      <c r="G12" s="827"/>
      <c r="H12" s="827"/>
      <c r="I12" s="827"/>
      <c r="J12" s="485" t="str">
        <f>GlobBerMedDisc!X5</f>
        <v/>
      </c>
      <c r="K12" s="486" t="str">
        <f>IF(GlobBerMedDisc!C5&gt;1,GlobBerMedDisc!H5,"")</f>
        <v/>
      </c>
      <c r="L12" s="487" t="str">
        <f>IF(GlobBerMedDisc!C5&gt;1,GlobBerMedDisc!F5,"")</f>
        <v/>
      </c>
      <c r="M12" s="488" t="str">
        <f>GlobBerMedDisc!Z5</f>
        <v/>
      </c>
      <c r="N12" s="488" t="str">
        <f>GlobBerMedDisc!AO5</f>
        <v/>
      </c>
      <c r="O12" s="488" t="str">
        <f>IF(AND(GlobBerMedDisc!C5&gt;1,GlobBerMedDisc!P5&gt;1),GlobBerMedDisc!O5,"")</f>
        <v/>
      </c>
      <c r="P12" s="488" t="str">
        <f>IF(AND(GlobBerMedDisc!C5&gt;1,O12&lt;&gt;0,GlobBerMedDisc!P5&gt;1),"ml","")</f>
        <v/>
      </c>
      <c r="Q12" s="488"/>
      <c r="R12" s="488" t="str">
        <f>GlobBerMedDisc!AP5</f>
        <v/>
      </c>
      <c r="S12" s="488" t="str">
        <f>IF(AND(O12&lt;&gt;"",GlobBerMedDisc!R5&gt;0),GlobBerMedDisc!R5&amp;" min","")</f>
        <v/>
      </c>
      <c r="T12" s="488" t="str">
        <f>GlobBerMedDisc!AS5</f>
        <v/>
      </c>
      <c r="U12" s="482"/>
      <c r="V12" s="482"/>
      <c r="W12" s="482"/>
      <c r="X12" s="482"/>
      <c r="Y12" s="482"/>
      <c r="Z12" s="482"/>
    </row>
    <row r="13" spans="2:68" s="483" customFormat="1" ht="20.100000000000001" customHeight="1" thickTop="1" thickBot="1" x14ac:dyDescent="0.25">
      <c r="B13" s="534" t="str">
        <f>GlobBerMedDisc!AN6</f>
        <v/>
      </c>
      <c r="C13" s="534" t="str">
        <f>GlobBerMedDisc!AQ6</f>
        <v/>
      </c>
      <c r="D13" s="678">
        <v>5</v>
      </c>
      <c r="E13" s="485" t="str">
        <f>IF(LEN(GlobBerMedDisc!B6)&gt;20, LEFT(GlobBerMedDisc!B6,20)&amp;"…",IF(LEN(GlobBerMedDisc!B6)&gt;0,GlobBerMedDisc!B6,""))</f>
        <v/>
      </c>
      <c r="F13" s="827" t="str">
        <f>GlobBerMedDisc!AR6</f>
        <v/>
      </c>
      <c r="G13" s="827"/>
      <c r="H13" s="827"/>
      <c r="I13" s="827"/>
      <c r="J13" s="485" t="str">
        <f>GlobBerMedDisc!X6</f>
        <v/>
      </c>
      <c r="K13" s="486" t="str">
        <f>IF(GlobBerMedDisc!C6&gt;1,GlobBerMedDisc!H6,"")</f>
        <v/>
      </c>
      <c r="L13" s="487" t="str">
        <f>IF(GlobBerMedDisc!C6&gt;1,GlobBerMedDisc!F6,"")</f>
        <v/>
      </c>
      <c r="M13" s="488" t="str">
        <f>GlobBerMedDisc!Z6</f>
        <v/>
      </c>
      <c r="N13" s="488" t="str">
        <f>GlobBerMedDisc!AO6</f>
        <v/>
      </c>
      <c r="O13" s="488" t="str">
        <f>IF(AND(GlobBerMedDisc!C6&gt;1,GlobBerMedDisc!P6&gt;1),GlobBerMedDisc!O6,"")</f>
        <v/>
      </c>
      <c r="P13" s="488" t="str">
        <f>IF(AND(GlobBerMedDisc!C6&gt;1,O13&lt;&gt;0,GlobBerMedDisc!P6&gt;1),"ml","")</f>
        <v/>
      </c>
      <c r="Q13" s="488"/>
      <c r="R13" s="488" t="str">
        <f>GlobBerMedDisc!AP6</f>
        <v/>
      </c>
      <c r="S13" s="488" t="str">
        <f>IF(AND(O13&lt;&gt;"",GlobBerMedDisc!R6&gt;0),GlobBerMedDisc!R6&amp;" min","")</f>
        <v/>
      </c>
      <c r="T13" s="488" t="str">
        <f>GlobBerMedDisc!AS6</f>
        <v/>
      </c>
      <c r="U13" s="482"/>
      <c r="V13" s="482"/>
      <c r="W13" s="482"/>
      <c r="X13" s="482"/>
      <c r="Y13" s="482"/>
      <c r="Z13" s="482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  <c r="BL13" s="377"/>
      <c r="BM13" s="377"/>
      <c r="BN13" s="377"/>
      <c r="BO13" s="377"/>
      <c r="BP13" s="377"/>
    </row>
    <row r="14" spans="2:68" ht="20.100000000000001" customHeight="1" thickTop="1" thickBot="1" x14ac:dyDescent="0.25">
      <c r="B14" s="534" t="str">
        <f>GlobBerMedDisc!AN7</f>
        <v/>
      </c>
      <c r="C14" s="534" t="str">
        <f>GlobBerMedDisc!AQ7</f>
        <v/>
      </c>
      <c r="D14" s="678">
        <v>6</v>
      </c>
      <c r="E14" s="485" t="str">
        <f>IF(LEN(GlobBerMedDisc!B7)&gt;20, LEFT(GlobBerMedDisc!B7,20)&amp;"…",IF(LEN(GlobBerMedDisc!B7)&gt;0,GlobBerMedDisc!B7,""))</f>
        <v/>
      </c>
      <c r="F14" s="827" t="str">
        <f>GlobBerMedDisc!AR7</f>
        <v/>
      </c>
      <c r="G14" s="827"/>
      <c r="H14" s="827"/>
      <c r="I14" s="827"/>
      <c r="J14" s="485" t="str">
        <f>GlobBerMedDisc!X7</f>
        <v/>
      </c>
      <c r="K14" s="486" t="str">
        <f>IF(GlobBerMedDisc!C7&gt;1,GlobBerMedDisc!H7,"")</f>
        <v/>
      </c>
      <c r="L14" s="487" t="str">
        <f>IF(GlobBerMedDisc!C7&gt;1,GlobBerMedDisc!F7,"")</f>
        <v/>
      </c>
      <c r="M14" s="488" t="str">
        <f>GlobBerMedDisc!Z7</f>
        <v/>
      </c>
      <c r="N14" s="488" t="str">
        <f>GlobBerMedDisc!AO7</f>
        <v/>
      </c>
      <c r="O14" s="488" t="str">
        <f>IF(AND(GlobBerMedDisc!C7&gt;1,GlobBerMedDisc!P7&gt;1),GlobBerMedDisc!O7,"")</f>
        <v/>
      </c>
      <c r="P14" s="488" t="str">
        <f>IF(AND(GlobBerMedDisc!C7&gt;1,O14&lt;&gt;0,GlobBerMedDisc!P7&gt;1),"ml","")</f>
        <v/>
      </c>
      <c r="Q14" s="488"/>
      <c r="R14" s="488" t="str">
        <f>GlobBerMedDisc!AP7</f>
        <v/>
      </c>
      <c r="S14" s="488" t="str">
        <f>IF(AND(O14&lt;&gt;"",GlobBerMedDisc!R7&gt;0),GlobBerMedDisc!R7&amp;" min","")</f>
        <v/>
      </c>
      <c r="T14" s="488" t="str">
        <f>GlobBerMedDisc!AS7</f>
        <v/>
      </c>
      <c r="U14" s="482"/>
      <c r="V14" s="482"/>
      <c r="W14" s="482"/>
      <c r="X14" s="482"/>
      <c r="Y14" s="482"/>
      <c r="Z14" s="482"/>
    </row>
    <row r="15" spans="2:68" ht="20.100000000000001" customHeight="1" thickTop="1" thickBot="1" x14ac:dyDescent="0.25">
      <c r="B15" s="534" t="str">
        <f>GlobBerMedDisc!AN8</f>
        <v/>
      </c>
      <c r="C15" s="534" t="str">
        <f>GlobBerMedDisc!AQ8</f>
        <v/>
      </c>
      <c r="D15" s="678">
        <v>7</v>
      </c>
      <c r="E15" s="485" t="str">
        <f>IF(LEN(GlobBerMedDisc!B8)&gt;20, LEFT(GlobBerMedDisc!B8,20)&amp;"…",IF(LEN(GlobBerMedDisc!B8)&gt;0,GlobBerMedDisc!B8,""))</f>
        <v/>
      </c>
      <c r="F15" s="827" t="str">
        <f>GlobBerMedDisc!AR8</f>
        <v/>
      </c>
      <c r="G15" s="827"/>
      <c r="H15" s="827"/>
      <c r="I15" s="827"/>
      <c r="J15" s="485" t="str">
        <f>GlobBerMedDisc!X8</f>
        <v/>
      </c>
      <c r="K15" s="486" t="str">
        <f>IF(GlobBerMedDisc!C8&gt;1,GlobBerMedDisc!H8,"")</f>
        <v/>
      </c>
      <c r="L15" s="487" t="str">
        <f>IF(GlobBerMedDisc!C8&gt;1,GlobBerMedDisc!F8,"")</f>
        <v/>
      </c>
      <c r="M15" s="488" t="str">
        <f>GlobBerMedDisc!Z8</f>
        <v/>
      </c>
      <c r="N15" s="488" t="str">
        <f>GlobBerMedDisc!AO8</f>
        <v/>
      </c>
      <c r="O15" s="488" t="str">
        <f>IF(AND(GlobBerMedDisc!C8&gt;1,GlobBerMedDisc!P8&gt;1),GlobBerMedDisc!O8,"")</f>
        <v/>
      </c>
      <c r="P15" s="488" t="str">
        <f>IF(AND(GlobBerMedDisc!C8&gt;1,O15&lt;&gt;0,GlobBerMedDisc!P8&gt;1),"ml","")</f>
        <v/>
      </c>
      <c r="Q15" s="488"/>
      <c r="R15" s="488" t="str">
        <f>GlobBerMedDisc!AP8</f>
        <v/>
      </c>
      <c r="S15" s="488" t="str">
        <f>IF(AND(O15&lt;&gt;"",GlobBerMedDisc!R8&gt;0),GlobBerMedDisc!R8&amp;" min","")</f>
        <v/>
      </c>
      <c r="T15" s="488" t="str">
        <f>GlobBerMedDisc!AS8</f>
        <v/>
      </c>
      <c r="U15" s="482"/>
      <c r="V15" s="482"/>
      <c r="W15" s="482"/>
      <c r="X15" s="482"/>
      <c r="Y15" s="482"/>
      <c r="Z15" s="482"/>
    </row>
    <row r="16" spans="2:68" ht="20.100000000000001" customHeight="1" thickTop="1" thickBot="1" x14ac:dyDescent="0.25">
      <c r="B16" s="534" t="str">
        <f>GlobBerMedDisc!AN9</f>
        <v/>
      </c>
      <c r="C16" s="534" t="str">
        <f>GlobBerMedDisc!AQ9</f>
        <v/>
      </c>
      <c r="D16" s="678">
        <v>8</v>
      </c>
      <c r="E16" s="485" t="str">
        <f>IF(LEN(GlobBerMedDisc!B9)&gt;20, LEFT(GlobBerMedDisc!B9,20)&amp;"…",IF(LEN(GlobBerMedDisc!B9)&gt;0,GlobBerMedDisc!B9,""))</f>
        <v/>
      </c>
      <c r="F16" s="827" t="str">
        <f>GlobBerMedDisc!AR9</f>
        <v/>
      </c>
      <c r="G16" s="827"/>
      <c r="H16" s="827"/>
      <c r="I16" s="827"/>
      <c r="J16" s="485" t="str">
        <f>GlobBerMedDisc!X9</f>
        <v/>
      </c>
      <c r="K16" s="486" t="str">
        <f>IF(GlobBerMedDisc!C9&gt;1,GlobBerMedDisc!H9,"")</f>
        <v/>
      </c>
      <c r="L16" s="487" t="str">
        <f>IF(GlobBerMedDisc!C9&gt;1,GlobBerMedDisc!F9,"")</f>
        <v/>
      </c>
      <c r="M16" s="488" t="str">
        <f>GlobBerMedDisc!Z9</f>
        <v/>
      </c>
      <c r="N16" s="488" t="str">
        <f>GlobBerMedDisc!AO9</f>
        <v/>
      </c>
      <c r="O16" s="488" t="str">
        <f>IF(AND(GlobBerMedDisc!C9&gt;1,GlobBerMedDisc!P9&gt;1),GlobBerMedDisc!O9,"")</f>
        <v/>
      </c>
      <c r="P16" s="488" t="str">
        <f>IF(AND(GlobBerMedDisc!C9&gt;1,O16&lt;&gt;0,GlobBerMedDisc!P9&gt;1),"ml","")</f>
        <v/>
      </c>
      <c r="Q16" s="488"/>
      <c r="R16" s="488" t="str">
        <f>GlobBerMedDisc!AP9</f>
        <v/>
      </c>
      <c r="S16" s="488" t="str">
        <f>IF(AND(O16&lt;&gt;"",GlobBerMedDisc!R9&gt;0),GlobBerMedDisc!R9&amp;" min","")</f>
        <v/>
      </c>
      <c r="T16" s="488" t="str">
        <f>GlobBerMedDisc!AS9</f>
        <v/>
      </c>
      <c r="U16" s="482"/>
      <c r="V16" s="482"/>
      <c r="W16" s="482"/>
      <c r="X16" s="482"/>
      <c r="Y16" s="482"/>
      <c r="Z16" s="482"/>
    </row>
    <row r="17" spans="2:26" ht="20.100000000000001" customHeight="1" thickTop="1" thickBot="1" x14ac:dyDescent="0.25">
      <c r="B17" s="534" t="str">
        <f>GlobBerMedDisc!AN10</f>
        <v/>
      </c>
      <c r="C17" s="534" t="str">
        <f>GlobBerMedDisc!AQ10</f>
        <v/>
      </c>
      <c r="D17" s="678">
        <v>9</v>
      </c>
      <c r="E17" s="485" t="str">
        <f>IF(LEN(GlobBerMedDisc!B10)&gt;20, LEFT(GlobBerMedDisc!B10,20)&amp;"…",IF(LEN(GlobBerMedDisc!B10)&gt;0,GlobBerMedDisc!B10,""))</f>
        <v/>
      </c>
      <c r="F17" s="827" t="str">
        <f>GlobBerMedDisc!AR10</f>
        <v/>
      </c>
      <c r="G17" s="827"/>
      <c r="H17" s="827"/>
      <c r="I17" s="827"/>
      <c r="J17" s="485" t="str">
        <f>GlobBerMedDisc!X10</f>
        <v/>
      </c>
      <c r="K17" s="486" t="str">
        <f>IF(GlobBerMedDisc!C10&gt;1,GlobBerMedDisc!H10,"")</f>
        <v/>
      </c>
      <c r="L17" s="487" t="str">
        <f>IF(GlobBerMedDisc!C10&gt;1,GlobBerMedDisc!F10,"")</f>
        <v/>
      </c>
      <c r="M17" s="488" t="str">
        <f>GlobBerMedDisc!Z10</f>
        <v/>
      </c>
      <c r="N17" s="488" t="str">
        <f>GlobBerMedDisc!AO10</f>
        <v/>
      </c>
      <c r="O17" s="488" t="str">
        <f>IF(AND(GlobBerMedDisc!C10&gt;1,GlobBerMedDisc!P10&gt;1),GlobBerMedDisc!O10,"")</f>
        <v/>
      </c>
      <c r="P17" s="488" t="str">
        <f>IF(AND(GlobBerMedDisc!C10&gt;1,O17&lt;&gt;0,GlobBerMedDisc!P10&gt;1),"ml","")</f>
        <v/>
      </c>
      <c r="Q17" s="488"/>
      <c r="R17" s="488" t="str">
        <f>GlobBerMedDisc!AP10</f>
        <v/>
      </c>
      <c r="S17" s="488" t="str">
        <f>IF(AND(O17&lt;&gt;"",GlobBerMedDisc!R10&gt;0),GlobBerMedDisc!R10&amp;" min","")</f>
        <v/>
      </c>
      <c r="T17" s="488" t="str">
        <f>GlobBerMedDisc!AS10</f>
        <v/>
      </c>
      <c r="U17" s="482"/>
      <c r="V17" s="482"/>
      <c r="W17" s="482"/>
      <c r="X17" s="482"/>
      <c r="Y17" s="482"/>
      <c r="Z17" s="482"/>
    </row>
    <row r="18" spans="2:26" ht="20.100000000000001" customHeight="1" thickTop="1" thickBot="1" x14ac:dyDescent="0.25">
      <c r="B18" s="534" t="str">
        <f>GlobBerMedDisc!AN11</f>
        <v/>
      </c>
      <c r="C18" s="534" t="str">
        <f>GlobBerMedDisc!AQ11</f>
        <v/>
      </c>
      <c r="D18" s="678">
        <v>10</v>
      </c>
      <c r="E18" s="485" t="str">
        <f>IF(LEN(GlobBerMedDisc!B11)&gt;20, LEFT(GlobBerMedDisc!B11,20)&amp;"…",IF(LEN(GlobBerMedDisc!B11)&gt;0,GlobBerMedDisc!B11,""))</f>
        <v/>
      </c>
      <c r="F18" s="827" t="str">
        <f>GlobBerMedDisc!AR11</f>
        <v/>
      </c>
      <c r="G18" s="827"/>
      <c r="H18" s="827"/>
      <c r="I18" s="827"/>
      <c r="J18" s="485" t="str">
        <f>GlobBerMedDisc!X11</f>
        <v/>
      </c>
      <c r="K18" s="486" t="str">
        <f>IF(GlobBerMedDisc!C11&gt;1,GlobBerMedDisc!H11,"")</f>
        <v/>
      </c>
      <c r="L18" s="487" t="str">
        <f>IF(GlobBerMedDisc!C11&gt;1,GlobBerMedDisc!F11,"")</f>
        <v/>
      </c>
      <c r="M18" s="488" t="str">
        <f>GlobBerMedDisc!Z11</f>
        <v/>
      </c>
      <c r="N18" s="488" t="str">
        <f>GlobBerMedDisc!AO11</f>
        <v/>
      </c>
      <c r="O18" s="488" t="str">
        <f>IF(AND(GlobBerMedDisc!C11&gt;1,GlobBerMedDisc!P11&gt;1),GlobBerMedDisc!O11,"")</f>
        <v/>
      </c>
      <c r="P18" s="488" t="str">
        <f>IF(AND(GlobBerMedDisc!C11&gt;1,O18&lt;&gt;0,GlobBerMedDisc!P11&gt;1),"ml","")</f>
        <v/>
      </c>
      <c r="Q18" s="488"/>
      <c r="R18" s="488" t="str">
        <f>GlobBerMedDisc!AP11</f>
        <v/>
      </c>
      <c r="S18" s="488" t="str">
        <f>IF(AND(O18&lt;&gt;"",GlobBerMedDisc!R11&gt;0),GlobBerMedDisc!R11&amp;" min","")</f>
        <v/>
      </c>
      <c r="T18" s="488" t="str">
        <f>GlobBerMedDisc!AS11</f>
        <v/>
      </c>
      <c r="U18" s="482"/>
      <c r="V18" s="482"/>
      <c r="W18" s="482"/>
      <c r="X18" s="482"/>
      <c r="Y18" s="482"/>
      <c r="Z18" s="482"/>
    </row>
    <row r="19" spans="2:26" ht="20.100000000000001" customHeight="1" thickTop="1" thickBot="1" x14ac:dyDescent="0.25">
      <c r="B19" s="534" t="str">
        <f>GlobBerMedDisc!AN12</f>
        <v/>
      </c>
      <c r="C19" s="534" t="str">
        <f>GlobBerMedDisc!AQ12</f>
        <v/>
      </c>
      <c r="D19" s="678">
        <v>11</v>
      </c>
      <c r="E19" s="485" t="str">
        <f>IF(LEN(GlobBerMedDisc!B12)&gt;20, LEFT(GlobBerMedDisc!B12,20)&amp;"…",IF(LEN(GlobBerMedDisc!B12)&gt;0,GlobBerMedDisc!B12,""))</f>
        <v/>
      </c>
      <c r="F19" s="827" t="str">
        <f>GlobBerMedDisc!AR12</f>
        <v/>
      </c>
      <c r="G19" s="827"/>
      <c r="H19" s="827"/>
      <c r="I19" s="827"/>
      <c r="J19" s="485" t="str">
        <f>GlobBerMedDisc!X12</f>
        <v/>
      </c>
      <c r="K19" s="486" t="str">
        <f>IF(GlobBerMedDisc!C12&gt;1,GlobBerMedDisc!H12,"")</f>
        <v/>
      </c>
      <c r="L19" s="487" t="str">
        <f>IF(GlobBerMedDisc!C12&gt;1,GlobBerMedDisc!F12,"")</f>
        <v/>
      </c>
      <c r="M19" s="488" t="str">
        <f>GlobBerMedDisc!Z12</f>
        <v/>
      </c>
      <c r="N19" s="488" t="str">
        <f>GlobBerMedDisc!AO12</f>
        <v/>
      </c>
      <c r="O19" s="488" t="str">
        <f>IF(AND(GlobBerMedDisc!C12&gt;1,GlobBerMedDisc!P12&gt;1),GlobBerMedDisc!O12,"")</f>
        <v/>
      </c>
      <c r="P19" s="488" t="str">
        <f>IF(AND(GlobBerMedDisc!C12&gt;1,O19&lt;&gt;0,GlobBerMedDisc!P12&gt;1),"ml","")</f>
        <v/>
      </c>
      <c r="Q19" s="488"/>
      <c r="R19" s="488" t="str">
        <f>GlobBerMedDisc!AP12</f>
        <v/>
      </c>
      <c r="S19" s="488" t="str">
        <f>IF(AND(O19&lt;&gt;"",GlobBerMedDisc!R12&gt;0),GlobBerMedDisc!R12&amp;" min","")</f>
        <v/>
      </c>
      <c r="T19" s="488" t="str">
        <f>GlobBerMedDisc!AS12</f>
        <v/>
      </c>
      <c r="U19" s="482"/>
      <c r="V19" s="482"/>
      <c r="W19" s="482"/>
      <c r="X19" s="482"/>
      <c r="Y19" s="482"/>
      <c r="Z19" s="482"/>
    </row>
    <row r="20" spans="2:26" ht="20.100000000000001" customHeight="1" thickTop="1" thickBot="1" x14ac:dyDescent="0.25">
      <c r="B20" s="534" t="str">
        <f>GlobBerMedDisc!AN13</f>
        <v/>
      </c>
      <c r="C20" s="534" t="str">
        <f>GlobBerMedDisc!AQ13</f>
        <v/>
      </c>
      <c r="D20" s="678">
        <v>12</v>
      </c>
      <c r="E20" s="485" t="str">
        <f>IF(LEN(GlobBerMedDisc!B13)&gt;20, LEFT(GlobBerMedDisc!B13,20)&amp;"…",IF(LEN(GlobBerMedDisc!B13)&gt;0,GlobBerMedDisc!B13,""))</f>
        <v/>
      </c>
      <c r="F20" s="827" t="str">
        <f>GlobBerMedDisc!AR13</f>
        <v/>
      </c>
      <c r="G20" s="827"/>
      <c r="H20" s="827"/>
      <c r="I20" s="827"/>
      <c r="J20" s="485" t="str">
        <f>GlobBerMedDisc!X13</f>
        <v/>
      </c>
      <c r="K20" s="486" t="str">
        <f>IF(GlobBerMedDisc!C13&gt;1,GlobBerMedDisc!H13,"")</f>
        <v/>
      </c>
      <c r="L20" s="487" t="str">
        <f>IF(GlobBerMedDisc!C13&gt;1,GlobBerMedDisc!F13,"")</f>
        <v/>
      </c>
      <c r="M20" s="488" t="str">
        <f>GlobBerMedDisc!Z13</f>
        <v/>
      </c>
      <c r="N20" s="488" t="str">
        <f>GlobBerMedDisc!AO13</f>
        <v/>
      </c>
      <c r="O20" s="488" t="str">
        <f>IF(AND(GlobBerMedDisc!C13&gt;1,GlobBerMedDisc!P13&gt;1),GlobBerMedDisc!O13,"")</f>
        <v/>
      </c>
      <c r="P20" s="488" t="str">
        <f>IF(AND(GlobBerMedDisc!C13&gt;1,O20&lt;&gt;0,GlobBerMedDisc!P13&gt;1),"ml","")</f>
        <v/>
      </c>
      <c r="Q20" s="488"/>
      <c r="R20" s="488" t="str">
        <f>GlobBerMedDisc!AP13</f>
        <v/>
      </c>
      <c r="S20" s="488" t="str">
        <f>IF(AND(O20&lt;&gt;"",GlobBerMedDisc!R13&gt;0),GlobBerMedDisc!R13&amp;" min","")</f>
        <v/>
      </c>
      <c r="T20" s="488" t="str">
        <f>GlobBerMedDisc!AS13</f>
        <v/>
      </c>
      <c r="U20" s="482"/>
      <c r="V20" s="482"/>
      <c r="W20" s="482"/>
      <c r="X20" s="482"/>
      <c r="Y20" s="482"/>
      <c r="Z20" s="482"/>
    </row>
    <row r="21" spans="2:26" ht="20.100000000000001" customHeight="1" thickTop="1" thickBot="1" x14ac:dyDescent="0.25">
      <c r="B21" s="534" t="str">
        <f>GlobBerMedDisc!AN14</f>
        <v/>
      </c>
      <c r="C21" s="534" t="str">
        <f>GlobBerMedDisc!AQ14</f>
        <v/>
      </c>
      <c r="D21" s="678">
        <v>13</v>
      </c>
      <c r="E21" s="485" t="str">
        <f>IF(LEN(GlobBerMedDisc!B14)&gt;20, LEFT(GlobBerMedDisc!B14,20)&amp;"…",IF(LEN(GlobBerMedDisc!B14)&gt;0,GlobBerMedDisc!B14,""))</f>
        <v/>
      </c>
      <c r="F21" s="827" t="str">
        <f>GlobBerMedDisc!AR14</f>
        <v/>
      </c>
      <c r="G21" s="827"/>
      <c r="H21" s="827"/>
      <c r="I21" s="827"/>
      <c r="J21" s="485" t="str">
        <f>GlobBerMedDisc!X14</f>
        <v/>
      </c>
      <c r="K21" s="486" t="str">
        <f>IF(GlobBerMedDisc!C14&gt;1,GlobBerMedDisc!H14,"")</f>
        <v/>
      </c>
      <c r="L21" s="487" t="str">
        <f>IF(GlobBerMedDisc!C14&gt;1,GlobBerMedDisc!F14,"")</f>
        <v/>
      </c>
      <c r="M21" s="488" t="str">
        <f>GlobBerMedDisc!Z14</f>
        <v/>
      </c>
      <c r="N21" s="488" t="str">
        <f>GlobBerMedDisc!AO14</f>
        <v/>
      </c>
      <c r="O21" s="488" t="str">
        <f>IF(AND(GlobBerMedDisc!C14&gt;1,GlobBerMedDisc!P14&gt;1),GlobBerMedDisc!O14,"")</f>
        <v/>
      </c>
      <c r="P21" s="488" t="str">
        <f>IF(AND(GlobBerMedDisc!C14&gt;1,O21&lt;&gt;0,GlobBerMedDisc!P14&gt;1),"ml","")</f>
        <v/>
      </c>
      <c r="Q21" s="488"/>
      <c r="R21" s="488" t="str">
        <f>GlobBerMedDisc!AP14</f>
        <v/>
      </c>
      <c r="S21" s="488" t="str">
        <f>IF(AND(O21&lt;&gt;"",GlobBerMedDisc!R14&gt;0),GlobBerMedDisc!R14&amp;" min","")</f>
        <v/>
      </c>
      <c r="T21" s="488" t="str">
        <f>GlobBerMedDisc!AS14</f>
        <v/>
      </c>
      <c r="U21" s="482"/>
      <c r="V21" s="482"/>
      <c r="W21" s="482"/>
      <c r="X21" s="482"/>
      <c r="Y21" s="482"/>
      <c r="Z21" s="482"/>
    </row>
    <row r="22" spans="2:26" ht="20.100000000000001" customHeight="1" thickTop="1" thickBot="1" x14ac:dyDescent="0.25">
      <c r="B22" s="534" t="str">
        <f>GlobBerMedDisc!AN15</f>
        <v/>
      </c>
      <c r="C22" s="534" t="str">
        <f>GlobBerMedDisc!AQ15</f>
        <v/>
      </c>
      <c r="D22" s="678">
        <v>14</v>
      </c>
      <c r="E22" s="485" t="str">
        <f>IF(LEN(GlobBerMedDisc!B15)&gt;20, LEFT(GlobBerMedDisc!B15,20)&amp;"…",IF(LEN(GlobBerMedDisc!B15)&gt;0,GlobBerMedDisc!B15,""))</f>
        <v/>
      </c>
      <c r="F22" s="827" t="str">
        <f>GlobBerMedDisc!AR15</f>
        <v/>
      </c>
      <c r="G22" s="827"/>
      <c r="H22" s="827"/>
      <c r="I22" s="827"/>
      <c r="J22" s="485" t="str">
        <f>GlobBerMedDisc!X15</f>
        <v/>
      </c>
      <c r="K22" s="486" t="str">
        <f>IF(GlobBerMedDisc!C15&gt;1,GlobBerMedDisc!H15,"")</f>
        <v/>
      </c>
      <c r="L22" s="487" t="str">
        <f>IF(GlobBerMedDisc!C15&gt;1,GlobBerMedDisc!F15,"")</f>
        <v/>
      </c>
      <c r="M22" s="488" t="str">
        <f>GlobBerMedDisc!Z15</f>
        <v/>
      </c>
      <c r="N22" s="488" t="str">
        <f>GlobBerMedDisc!AO15</f>
        <v/>
      </c>
      <c r="O22" s="488" t="str">
        <f>IF(AND(GlobBerMedDisc!C15&gt;1,GlobBerMedDisc!P15&gt;1),GlobBerMedDisc!O15,"")</f>
        <v/>
      </c>
      <c r="P22" s="488" t="str">
        <f>IF(AND(GlobBerMedDisc!C15&gt;1,O22&lt;&gt;0,GlobBerMedDisc!P15&gt;1),"ml","")</f>
        <v/>
      </c>
      <c r="Q22" s="488"/>
      <c r="R22" s="488" t="str">
        <f>GlobBerMedDisc!AP15</f>
        <v/>
      </c>
      <c r="S22" s="488" t="str">
        <f>IF(AND(O22&lt;&gt;"",GlobBerMedDisc!R15&gt;0),GlobBerMedDisc!R15&amp;" min","")</f>
        <v/>
      </c>
      <c r="T22" s="488" t="str">
        <f>GlobBerMedDisc!AS15</f>
        <v/>
      </c>
      <c r="U22" s="482"/>
      <c r="V22" s="482"/>
      <c r="W22" s="482"/>
      <c r="X22" s="482"/>
      <c r="Y22" s="482"/>
      <c r="Z22" s="482"/>
    </row>
    <row r="23" spans="2:26" ht="20.100000000000001" customHeight="1" thickTop="1" thickBot="1" x14ac:dyDescent="0.25">
      <c r="B23" s="534" t="str">
        <f>GlobBerMedDisc!AN16</f>
        <v/>
      </c>
      <c r="C23" s="534" t="str">
        <f>GlobBerMedDisc!AQ16</f>
        <v/>
      </c>
      <c r="D23" s="678">
        <v>15</v>
      </c>
      <c r="E23" s="485" t="str">
        <f>IF(LEN(GlobBerMedDisc!B16)&gt;20, LEFT(GlobBerMedDisc!B16,20)&amp;"…",IF(LEN(GlobBerMedDisc!B16)&gt;0,GlobBerMedDisc!B16,""))</f>
        <v/>
      </c>
      <c r="F23" s="827" t="str">
        <f>GlobBerMedDisc!AR16</f>
        <v/>
      </c>
      <c r="G23" s="827"/>
      <c r="H23" s="827"/>
      <c r="I23" s="827"/>
      <c r="J23" s="485" t="str">
        <f>GlobBerMedDisc!X16</f>
        <v/>
      </c>
      <c r="K23" s="486" t="str">
        <f>IF(GlobBerMedDisc!C16&gt;1,GlobBerMedDisc!H16,"")</f>
        <v/>
      </c>
      <c r="L23" s="487" t="str">
        <f>IF(GlobBerMedDisc!C16&gt;1,GlobBerMedDisc!F16,"")</f>
        <v/>
      </c>
      <c r="M23" s="488" t="str">
        <f>GlobBerMedDisc!Z16</f>
        <v/>
      </c>
      <c r="N23" s="488" t="str">
        <f>GlobBerMedDisc!AO16</f>
        <v/>
      </c>
      <c r="O23" s="488" t="str">
        <f>IF(AND(GlobBerMedDisc!C16&gt;1,GlobBerMedDisc!P16&gt;1),GlobBerMedDisc!O16,"")</f>
        <v/>
      </c>
      <c r="P23" s="488" t="str">
        <f>IF(AND(GlobBerMedDisc!C16&gt;1,O23&lt;&gt;0,GlobBerMedDisc!P16&gt;1),"ml","")</f>
        <v/>
      </c>
      <c r="Q23" s="488"/>
      <c r="R23" s="488" t="str">
        <f>GlobBerMedDisc!AP16</f>
        <v/>
      </c>
      <c r="S23" s="488" t="str">
        <f>IF(AND(O23&lt;&gt;"",GlobBerMedDisc!R16&gt;0),GlobBerMedDisc!R16&amp;" min","")</f>
        <v/>
      </c>
      <c r="T23" s="488" t="str">
        <f>GlobBerMedDisc!AS16</f>
        <v/>
      </c>
      <c r="U23" s="482"/>
      <c r="V23" s="482"/>
      <c r="W23" s="482"/>
      <c r="X23" s="482"/>
      <c r="Y23" s="482"/>
      <c r="Z23" s="482"/>
    </row>
    <row r="24" spans="2:26" ht="20.100000000000001" customHeight="1" thickTop="1" thickBot="1" x14ac:dyDescent="0.25">
      <c r="B24" s="534" t="str">
        <f>GlobBerMedDisc!AN17</f>
        <v/>
      </c>
      <c r="C24" s="534" t="str">
        <f>GlobBerMedDisc!AQ17</f>
        <v/>
      </c>
      <c r="D24" s="678">
        <v>16</v>
      </c>
      <c r="E24" s="485" t="str">
        <f>IF(LEN(GlobBerMedDisc!B17)&gt;20, LEFT(GlobBerMedDisc!B17,20)&amp;"…",IF(LEN(GlobBerMedDisc!B17)&gt;0,GlobBerMedDisc!B17,""))</f>
        <v/>
      </c>
      <c r="F24" s="827" t="str">
        <f>GlobBerMedDisc!AR17</f>
        <v/>
      </c>
      <c r="G24" s="827"/>
      <c r="H24" s="827"/>
      <c r="I24" s="827"/>
      <c r="J24" s="485" t="str">
        <f>GlobBerMedDisc!X17</f>
        <v/>
      </c>
      <c r="K24" s="486" t="str">
        <f>IF(GlobBerMedDisc!C17&gt;1,GlobBerMedDisc!H17,"")</f>
        <v/>
      </c>
      <c r="L24" s="487" t="str">
        <f>IF(GlobBerMedDisc!C17&gt;1,GlobBerMedDisc!F17,"")</f>
        <v/>
      </c>
      <c r="M24" s="488" t="str">
        <f>GlobBerMedDisc!Z17</f>
        <v/>
      </c>
      <c r="N24" s="488" t="str">
        <f>GlobBerMedDisc!AO17</f>
        <v/>
      </c>
      <c r="O24" s="488" t="str">
        <f>IF(AND(GlobBerMedDisc!C17&gt;1,GlobBerMedDisc!P17&gt;1),GlobBerMedDisc!O17,"")</f>
        <v/>
      </c>
      <c r="P24" s="488" t="str">
        <f>IF(AND(GlobBerMedDisc!C17&gt;1,O24&lt;&gt;0,GlobBerMedDisc!P17&gt;1),"ml","")</f>
        <v/>
      </c>
      <c r="Q24" s="488"/>
      <c r="R24" s="488" t="str">
        <f>GlobBerMedDisc!AP17</f>
        <v/>
      </c>
      <c r="S24" s="488" t="str">
        <f>IF(AND(O24&lt;&gt;"",GlobBerMedDisc!R17&gt;0),GlobBerMedDisc!R17&amp;" min","")</f>
        <v/>
      </c>
      <c r="T24" s="488" t="str">
        <f>GlobBerMedDisc!AS17</f>
        <v/>
      </c>
      <c r="U24" s="482"/>
      <c r="V24" s="482"/>
      <c r="W24" s="482"/>
      <c r="X24" s="482"/>
      <c r="Y24" s="482"/>
      <c r="Z24" s="482"/>
    </row>
    <row r="25" spans="2:26" ht="20.100000000000001" customHeight="1" thickTop="1" thickBot="1" x14ac:dyDescent="0.25">
      <c r="B25" s="534" t="str">
        <f>GlobBerMedDisc!AN18</f>
        <v/>
      </c>
      <c r="C25" s="534" t="str">
        <f>GlobBerMedDisc!AQ18</f>
        <v/>
      </c>
      <c r="D25" s="678">
        <v>17</v>
      </c>
      <c r="E25" s="485" t="str">
        <f>IF(LEN(GlobBerMedDisc!B18)&gt;20, LEFT(GlobBerMedDisc!B18,20)&amp;"…",IF(LEN(GlobBerMedDisc!B18)&gt;0,GlobBerMedDisc!B18,""))</f>
        <v/>
      </c>
      <c r="F25" s="827" t="str">
        <f>GlobBerMedDisc!AR18</f>
        <v/>
      </c>
      <c r="G25" s="827"/>
      <c r="H25" s="827"/>
      <c r="I25" s="827"/>
      <c r="J25" s="485" t="str">
        <f>GlobBerMedDisc!X18</f>
        <v/>
      </c>
      <c r="K25" s="486" t="str">
        <f>IF(GlobBerMedDisc!C18&gt;1,GlobBerMedDisc!H18,"")</f>
        <v/>
      </c>
      <c r="L25" s="487" t="str">
        <f>IF(GlobBerMedDisc!C18&gt;1,GlobBerMedDisc!F18,"")</f>
        <v/>
      </c>
      <c r="M25" s="488" t="str">
        <f>GlobBerMedDisc!Z18</f>
        <v/>
      </c>
      <c r="N25" s="488" t="str">
        <f>GlobBerMedDisc!AO18</f>
        <v/>
      </c>
      <c r="O25" s="488" t="str">
        <f>IF(AND(GlobBerMedDisc!C18&gt;1,GlobBerMedDisc!P18&gt;1),GlobBerMedDisc!O18,"")</f>
        <v/>
      </c>
      <c r="P25" s="488" t="str">
        <f>IF(AND(GlobBerMedDisc!C18&gt;1,O25&lt;&gt;0,GlobBerMedDisc!P18&gt;1),"ml","")</f>
        <v/>
      </c>
      <c r="Q25" s="488"/>
      <c r="R25" s="488" t="str">
        <f>GlobBerMedDisc!AP18</f>
        <v/>
      </c>
      <c r="S25" s="488" t="str">
        <f>IF(AND(O25&lt;&gt;"",GlobBerMedDisc!R18&gt;0),GlobBerMedDisc!R18&amp;" min","")</f>
        <v/>
      </c>
      <c r="T25" s="488" t="str">
        <f>GlobBerMedDisc!AS18</f>
        <v/>
      </c>
      <c r="U25" s="482"/>
      <c r="V25" s="482"/>
      <c r="W25" s="482"/>
      <c r="X25" s="482"/>
      <c r="Y25" s="482"/>
      <c r="Z25" s="482"/>
    </row>
    <row r="26" spans="2:26" ht="20.100000000000001" customHeight="1" thickTop="1" thickBot="1" x14ac:dyDescent="0.25">
      <c r="B26" s="534" t="str">
        <f>GlobBerMedDisc!AN19</f>
        <v/>
      </c>
      <c r="C26" s="534" t="str">
        <f>GlobBerMedDisc!AQ19</f>
        <v/>
      </c>
      <c r="D26" s="678">
        <v>18</v>
      </c>
      <c r="E26" s="485" t="str">
        <f>IF(LEN(GlobBerMedDisc!B19)&gt;20, LEFT(GlobBerMedDisc!B19,20)&amp;"…",IF(LEN(GlobBerMedDisc!B19)&gt;0,GlobBerMedDisc!B19,""))</f>
        <v/>
      </c>
      <c r="F26" s="827" t="str">
        <f>GlobBerMedDisc!AR19</f>
        <v/>
      </c>
      <c r="G26" s="827"/>
      <c r="H26" s="827"/>
      <c r="I26" s="827"/>
      <c r="J26" s="485" t="str">
        <f>GlobBerMedDisc!X19</f>
        <v/>
      </c>
      <c r="K26" s="486" t="str">
        <f>IF(GlobBerMedDisc!C19&gt;1,GlobBerMedDisc!H19,"")</f>
        <v/>
      </c>
      <c r="L26" s="487" t="str">
        <f>IF(GlobBerMedDisc!C19&gt;1,GlobBerMedDisc!F19,"")</f>
        <v/>
      </c>
      <c r="M26" s="488" t="str">
        <f>GlobBerMedDisc!Z19</f>
        <v/>
      </c>
      <c r="N26" s="488" t="str">
        <f>GlobBerMedDisc!AO19</f>
        <v/>
      </c>
      <c r="O26" s="488" t="str">
        <f>IF(AND(GlobBerMedDisc!C19&gt;1,GlobBerMedDisc!P19&gt;1),GlobBerMedDisc!O19,"")</f>
        <v/>
      </c>
      <c r="P26" s="488" t="str">
        <f>IF(AND(GlobBerMedDisc!C19&gt;1,O26&lt;&gt;0,GlobBerMedDisc!P19&gt;1),"ml","")</f>
        <v/>
      </c>
      <c r="Q26" s="488"/>
      <c r="R26" s="488" t="str">
        <f>GlobBerMedDisc!AP19</f>
        <v/>
      </c>
      <c r="S26" s="488" t="str">
        <f>IF(AND(O26&lt;&gt;"",GlobBerMedDisc!R19&gt;0),GlobBerMedDisc!R19&amp;" min","")</f>
        <v/>
      </c>
      <c r="T26" s="488" t="str">
        <f>GlobBerMedDisc!AS19</f>
        <v/>
      </c>
      <c r="U26" s="482"/>
      <c r="V26" s="482"/>
      <c r="W26" s="482"/>
      <c r="X26" s="482"/>
      <c r="Y26" s="482"/>
      <c r="Z26" s="482"/>
    </row>
    <row r="27" spans="2:26" ht="20.100000000000001" customHeight="1" thickTop="1" thickBot="1" x14ac:dyDescent="0.25">
      <c r="B27" s="534" t="str">
        <f>GlobBerMedDisc!AN20</f>
        <v/>
      </c>
      <c r="C27" s="534" t="str">
        <f>GlobBerMedDisc!AQ20</f>
        <v/>
      </c>
      <c r="D27" s="678">
        <v>19</v>
      </c>
      <c r="E27" s="485" t="str">
        <f>IF(LEN(GlobBerMedDisc!B20)&gt;20, LEFT(GlobBerMedDisc!B20,20)&amp;"…",IF(LEN(GlobBerMedDisc!B20)&gt;0,GlobBerMedDisc!B20,""))</f>
        <v/>
      </c>
      <c r="F27" s="827" t="str">
        <f>GlobBerMedDisc!AR20</f>
        <v/>
      </c>
      <c r="G27" s="827"/>
      <c r="H27" s="827"/>
      <c r="I27" s="827"/>
      <c r="J27" s="485" t="str">
        <f>GlobBerMedDisc!X20</f>
        <v/>
      </c>
      <c r="K27" s="486" t="str">
        <f>IF(GlobBerMedDisc!C20&gt;1,GlobBerMedDisc!H20,"")</f>
        <v/>
      </c>
      <c r="L27" s="487" t="str">
        <f>IF(GlobBerMedDisc!C20&gt;1,GlobBerMedDisc!F20,"")</f>
        <v/>
      </c>
      <c r="M27" s="488" t="str">
        <f>GlobBerMedDisc!Z20</f>
        <v/>
      </c>
      <c r="N27" s="488" t="str">
        <f>GlobBerMedDisc!AO20</f>
        <v/>
      </c>
      <c r="O27" s="488" t="str">
        <f>IF(AND(GlobBerMedDisc!C20&gt;1,GlobBerMedDisc!P20&gt;1),GlobBerMedDisc!O20,"")</f>
        <v/>
      </c>
      <c r="P27" s="488" t="str">
        <f>IF(AND(GlobBerMedDisc!C20&gt;1,O27&lt;&gt;0,GlobBerMedDisc!P20&gt;1),"ml","")</f>
        <v/>
      </c>
      <c r="Q27" s="488"/>
      <c r="R27" s="488" t="str">
        <f>GlobBerMedDisc!AP20</f>
        <v/>
      </c>
      <c r="S27" s="488" t="str">
        <f>IF(AND(O27&lt;&gt;"",GlobBerMedDisc!R20&gt;0),GlobBerMedDisc!R20&amp;" min","")</f>
        <v/>
      </c>
      <c r="T27" s="488" t="str">
        <f>GlobBerMedDisc!AS20</f>
        <v/>
      </c>
      <c r="U27" s="482"/>
      <c r="V27" s="482"/>
      <c r="W27" s="482"/>
      <c r="X27" s="482"/>
      <c r="Y27" s="482"/>
      <c r="Z27" s="482"/>
    </row>
    <row r="28" spans="2:26" ht="20.100000000000001" customHeight="1" thickTop="1" thickBot="1" x14ac:dyDescent="0.25">
      <c r="B28" s="534" t="str">
        <f>GlobBerMedDisc!AN21</f>
        <v/>
      </c>
      <c r="C28" s="534" t="str">
        <f>GlobBerMedDisc!AQ21</f>
        <v/>
      </c>
      <c r="D28" s="678">
        <v>20</v>
      </c>
      <c r="E28" s="485" t="str">
        <f>IF(LEN(GlobBerMedDisc!B21)&gt;20, LEFT(GlobBerMedDisc!B21,20)&amp;"…",IF(LEN(GlobBerMedDisc!B21)&gt;0,GlobBerMedDisc!B21,""))</f>
        <v/>
      </c>
      <c r="F28" s="827" t="str">
        <f>GlobBerMedDisc!AR21</f>
        <v/>
      </c>
      <c r="G28" s="827"/>
      <c r="H28" s="827"/>
      <c r="I28" s="827"/>
      <c r="J28" s="485" t="str">
        <f>GlobBerMedDisc!X21</f>
        <v/>
      </c>
      <c r="K28" s="486" t="str">
        <f>IF(GlobBerMedDisc!C21&gt;1,GlobBerMedDisc!H21,"")</f>
        <v/>
      </c>
      <c r="L28" s="487" t="str">
        <f>IF(GlobBerMedDisc!C21&gt;1,GlobBerMedDisc!F21,"")</f>
        <v/>
      </c>
      <c r="M28" s="744" t="str">
        <f>GlobBerMedDisc!Z21</f>
        <v/>
      </c>
      <c r="N28" s="488" t="str">
        <f>GlobBerMedDisc!AO21</f>
        <v/>
      </c>
      <c r="O28" s="488" t="str">
        <f>IF(AND(GlobBerMedDisc!C21&gt;1,GlobBerMedDisc!P21&gt;1),GlobBerMedDisc!O21,"")</f>
        <v/>
      </c>
      <c r="P28" s="488" t="str">
        <f>IF(AND(GlobBerMedDisc!C21&gt;1,O28&lt;&gt;0,GlobBerMedDisc!P21&gt;1),"ml","")</f>
        <v/>
      </c>
      <c r="Q28" s="488"/>
      <c r="R28" s="488" t="str">
        <f>GlobBerMedDisc!AP21</f>
        <v/>
      </c>
      <c r="S28" s="488" t="str">
        <f>IF(AND(O28&lt;&gt;"",GlobBerMedDisc!R21&gt;0),GlobBerMedDisc!R21&amp;" min","")</f>
        <v/>
      </c>
      <c r="T28" s="488" t="str">
        <f>GlobBerMedDisc!AS21</f>
        <v/>
      </c>
      <c r="U28" s="482"/>
      <c r="V28" s="482"/>
      <c r="W28" s="482"/>
      <c r="X28" s="482"/>
      <c r="Y28" s="482"/>
      <c r="Z28" s="482"/>
    </row>
    <row r="29" spans="2:26" ht="20.100000000000001" customHeight="1" thickTop="1" thickBot="1" x14ac:dyDescent="0.25">
      <c r="B29" s="534" t="str">
        <f>GlobBerMedDisc!AN22</f>
        <v/>
      </c>
      <c r="C29" s="534" t="str">
        <f>GlobBerMedDisc!AQ22</f>
        <v/>
      </c>
      <c r="D29" s="678">
        <v>21</v>
      </c>
      <c r="E29" s="485" t="str">
        <f>IF(LEN(GlobBerMedDisc!B22)&gt;20, LEFT(GlobBerMedDisc!B22,20)&amp;"…",IF(LEN(GlobBerMedDisc!B22)&gt;0,GlobBerMedDisc!B22,""))</f>
        <v/>
      </c>
      <c r="F29" s="827" t="str">
        <f>GlobBerMedDisc!AR22</f>
        <v/>
      </c>
      <c r="G29" s="827"/>
      <c r="H29" s="827"/>
      <c r="I29" s="827"/>
      <c r="J29" s="485" t="str">
        <f>GlobBerMedDisc!X22</f>
        <v/>
      </c>
      <c r="K29" s="486" t="str">
        <f>IF(GlobBerMedDisc!C22&gt;1,GlobBerMedDisc!H22,"")</f>
        <v/>
      </c>
      <c r="L29" s="487" t="str">
        <f>IF(GlobBerMedDisc!C22&gt;1,GlobBerMedDisc!F22,"")</f>
        <v/>
      </c>
      <c r="M29" s="488" t="str">
        <f>GlobBerMedDisc!Z22</f>
        <v/>
      </c>
      <c r="N29" s="488" t="str">
        <f>GlobBerMedDisc!AO22</f>
        <v/>
      </c>
      <c r="O29" s="488" t="str">
        <f>IF(AND(GlobBerMedDisc!C22&gt;1,GlobBerMedDisc!P22&gt;1),GlobBerMedDisc!O22,"")</f>
        <v/>
      </c>
      <c r="P29" s="488" t="str">
        <f>IF(AND(GlobBerMedDisc!C22&gt;1,O29&lt;&gt;0,GlobBerMedDisc!P22&gt;1),"ml","")</f>
        <v/>
      </c>
      <c r="Q29" s="488"/>
      <c r="R29" s="488" t="str">
        <f>GlobBerMedDisc!AP22</f>
        <v/>
      </c>
      <c r="S29" s="488" t="str">
        <f>IF(AND(O29&lt;&gt;"",GlobBerMedDisc!R22&gt;0),GlobBerMedDisc!R22&amp;" min","")</f>
        <v/>
      </c>
      <c r="T29" s="488" t="str">
        <f>GlobBerMedDisc!AS22</f>
        <v/>
      </c>
      <c r="U29" s="482"/>
      <c r="V29" s="482"/>
      <c r="W29" s="482"/>
      <c r="X29" s="482"/>
      <c r="Y29" s="482"/>
      <c r="Z29" s="482"/>
    </row>
    <row r="30" spans="2:26" ht="20.100000000000001" customHeight="1" thickTop="1" thickBot="1" x14ac:dyDescent="0.25">
      <c r="B30" s="534" t="str">
        <f>GlobBerMedDisc!AN23</f>
        <v/>
      </c>
      <c r="C30" s="534" t="str">
        <f>GlobBerMedDisc!AQ23</f>
        <v/>
      </c>
      <c r="D30" s="678">
        <v>22</v>
      </c>
      <c r="E30" s="485" t="str">
        <f>IF(LEN(GlobBerMedDisc!B23)&gt;20, LEFT(GlobBerMedDisc!B23,20)&amp;"…",IF(LEN(GlobBerMedDisc!B23)&gt;0,GlobBerMedDisc!B23,""))</f>
        <v/>
      </c>
      <c r="F30" s="827" t="str">
        <f>GlobBerMedDisc!AR23</f>
        <v/>
      </c>
      <c r="G30" s="827"/>
      <c r="H30" s="827"/>
      <c r="I30" s="827"/>
      <c r="J30" s="485" t="str">
        <f>GlobBerMedDisc!X23</f>
        <v/>
      </c>
      <c r="K30" s="486" t="str">
        <f>IF(GlobBerMedDisc!C23&gt;1,GlobBerMedDisc!H23,"")</f>
        <v/>
      </c>
      <c r="L30" s="487" t="str">
        <f>IF(GlobBerMedDisc!C23&gt;1,GlobBerMedDisc!F23,"")</f>
        <v/>
      </c>
      <c r="M30" s="488" t="str">
        <f>GlobBerMedDisc!Z23</f>
        <v/>
      </c>
      <c r="N30" s="488" t="str">
        <f>GlobBerMedDisc!AO23</f>
        <v/>
      </c>
      <c r="O30" s="488" t="str">
        <f>IF(AND(GlobBerMedDisc!C23&gt;1,GlobBerMedDisc!P23&gt;1),GlobBerMedDisc!O23,"")</f>
        <v/>
      </c>
      <c r="P30" s="488" t="str">
        <f>IF(AND(GlobBerMedDisc!C23&gt;1,O30&lt;&gt;0,GlobBerMedDisc!P23&gt;1),"ml","")</f>
        <v/>
      </c>
      <c r="Q30" s="488"/>
      <c r="R30" s="488" t="str">
        <f>GlobBerMedDisc!AP23</f>
        <v/>
      </c>
      <c r="S30" s="488" t="str">
        <f>IF(AND(O30&lt;&gt;"",GlobBerMedDisc!R23&gt;0),GlobBerMedDisc!R23&amp;" min","")</f>
        <v/>
      </c>
      <c r="T30" s="488" t="str">
        <f>GlobBerMedDisc!AS23</f>
        <v/>
      </c>
      <c r="U30" s="482"/>
      <c r="V30" s="482"/>
      <c r="W30" s="482"/>
      <c r="X30" s="482"/>
      <c r="Y30" s="482"/>
      <c r="Z30" s="482"/>
    </row>
    <row r="31" spans="2:26" ht="20.100000000000001" customHeight="1" thickTop="1" thickBot="1" x14ac:dyDescent="0.25">
      <c r="B31" s="534" t="str">
        <f>GlobBerMedDisc!AN24</f>
        <v/>
      </c>
      <c r="C31" s="534" t="str">
        <f>GlobBerMedDisc!AQ24</f>
        <v/>
      </c>
      <c r="D31" s="678">
        <v>23</v>
      </c>
      <c r="E31" s="485" t="str">
        <f>IF(LEN(GlobBerMedDisc!B24)&gt;20, LEFT(GlobBerMedDisc!B24,20)&amp;"…",IF(LEN(GlobBerMedDisc!B24)&gt;0,GlobBerMedDisc!B24,""))</f>
        <v/>
      </c>
      <c r="F31" s="827" t="str">
        <f>GlobBerMedDisc!AR24</f>
        <v/>
      </c>
      <c r="G31" s="827"/>
      <c r="H31" s="827"/>
      <c r="I31" s="827"/>
      <c r="J31" s="485" t="str">
        <f>GlobBerMedDisc!X24</f>
        <v/>
      </c>
      <c r="K31" s="486" t="str">
        <f>IF(GlobBerMedDisc!C24&gt;1,GlobBerMedDisc!H24,"")</f>
        <v/>
      </c>
      <c r="L31" s="487" t="str">
        <f>IF(GlobBerMedDisc!C24&gt;1,GlobBerMedDisc!F24,"")</f>
        <v/>
      </c>
      <c r="M31" s="488" t="str">
        <f>GlobBerMedDisc!Z24</f>
        <v/>
      </c>
      <c r="N31" s="488" t="str">
        <f>GlobBerMedDisc!AO24</f>
        <v/>
      </c>
      <c r="O31" s="488" t="str">
        <f>IF(AND(GlobBerMedDisc!C24&gt;1,GlobBerMedDisc!P24&gt;1),GlobBerMedDisc!O24,"")</f>
        <v/>
      </c>
      <c r="P31" s="488" t="str">
        <f>IF(AND(GlobBerMedDisc!C24&gt;1,O31&lt;&gt;0,GlobBerMedDisc!P24&gt;1),"ml","")</f>
        <v/>
      </c>
      <c r="Q31" s="488"/>
      <c r="R31" s="488" t="str">
        <f>GlobBerMedDisc!AP24</f>
        <v/>
      </c>
      <c r="S31" s="488" t="str">
        <f>IF(AND(O31&lt;&gt;"",GlobBerMedDisc!R24&gt;0),GlobBerMedDisc!R24&amp;" min","")</f>
        <v/>
      </c>
      <c r="T31" s="488" t="str">
        <f>GlobBerMedDisc!AS24</f>
        <v/>
      </c>
      <c r="U31" s="482"/>
      <c r="V31" s="482"/>
      <c r="W31" s="482"/>
      <c r="X31" s="482"/>
      <c r="Y31" s="482"/>
      <c r="Z31" s="482"/>
    </row>
    <row r="32" spans="2:26" ht="20.100000000000001" customHeight="1" thickTop="1" thickBot="1" x14ac:dyDescent="0.25">
      <c r="B32" s="534" t="str">
        <f>GlobBerMedDisc!AN25</f>
        <v/>
      </c>
      <c r="C32" s="534" t="str">
        <f>GlobBerMedDisc!AQ25</f>
        <v/>
      </c>
      <c r="D32" s="678">
        <v>24</v>
      </c>
      <c r="E32" s="485" t="str">
        <f>IF(LEN(GlobBerMedDisc!B25)&gt;20, LEFT(GlobBerMedDisc!B25,20)&amp;"…",IF(LEN(GlobBerMedDisc!B25)&gt;0,GlobBerMedDisc!B25,""))</f>
        <v/>
      </c>
      <c r="F32" s="827" t="str">
        <f>GlobBerMedDisc!AR25</f>
        <v/>
      </c>
      <c r="G32" s="827"/>
      <c r="H32" s="827"/>
      <c r="I32" s="827"/>
      <c r="J32" s="485" t="str">
        <f>GlobBerMedDisc!X25</f>
        <v/>
      </c>
      <c r="K32" s="486" t="str">
        <f>IF(GlobBerMedDisc!C25&gt;1,GlobBerMedDisc!H25,"")</f>
        <v/>
      </c>
      <c r="L32" s="487" t="str">
        <f>IF(GlobBerMedDisc!C25&gt;1,GlobBerMedDisc!F25,"")</f>
        <v/>
      </c>
      <c r="M32" s="488" t="str">
        <f>GlobBerMedDisc!Z25</f>
        <v/>
      </c>
      <c r="N32" s="488" t="str">
        <f>GlobBerMedDisc!AO25</f>
        <v/>
      </c>
      <c r="O32" s="488" t="str">
        <f>IF(AND(GlobBerMedDisc!C25&gt;1,GlobBerMedDisc!P25&gt;1),GlobBerMedDisc!O25,"")</f>
        <v/>
      </c>
      <c r="P32" s="488" t="str">
        <f>IF(AND(GlobBerMedDisc!C25&gt;1,O32&lt;&gt;0,GlobBerMedDisc!P25&gt;1),"ml","")</f>
        <v/>
      </c>
      <c r="Q32" s="488"/>
      <c r="R32" s="488" t="str">
        <f>GlobBerMedDisc!AP25</f>
        <v/>
      </c>
      <c r="S32" s="488" t="str">
        <f>IF(AND(O32&lt;&gt;"",GlobBerMedDisc!R25&gt;0),GlobBerMedDisc!R25&amp;" min","")</f>
        <v/>
      </c>
      <c r="T32" s="488" t="str">
        <f>GlobBerMedDisc!AS25</f>
        <v/>
      </c>
      <c r="U32" s="482"/>
      <c r="V32" s="482"/>
      <c r="W32" s="482"/>
      <c r="X32" s="482"/>
      <c r="Y32" s="482"/>
      <c r="Z32" s="482"/>
    </row>
    <row r="33" spans="2:26" ht="20.100000000000001" customHeight="1" thickTop="1" thickBot="1" x14ac:dyDescent="0.25">
      <c r="B33" s="534" t="str">
        <f>GlobBerMedDisc!AN26</f>
        <v/>
      </c>
      <c r="C33" s="534" t="str">
        <f>GlobBerMedDisc!AQ26</f>
        <v/>
      </c>
      <c r="D33" s="678">
        <v>25</v>
      </c>
      <c r="E33" s="485" t="str">
        <f>IF(LEN(GlobBerMedDisc!B26)&gt;20, LEFT(GlobBerMedDisc!B26,20)&amp;"…",IF(LEN(GlobBerMedDisc!B26)&gt;0,GlobBerMedDisc!B26,""))</f>
        <v/>
      </c>
      <c r="F33" s="827" t="str">
        <f>GlobBerMedDisc!AR26</f>
        <v/>
      </c>
      <c r="G33" s="827"/>
      <c r="H33" s="827"/>
      <c r="I33" s="827"/>
      <c r="J33" s="485" t="str">
        <f>GlobBerMedDisc!X26</f>
        <v/>
      </c>
      <c r="K33" s="486" t="str">
        <f>IF(GlobBerMedDisc!C26&gt;1,GlobBerMedDisc!H26,"")</f>
        <v/>
      </c>
      <c r="L33" s="487" t="str">
        <f>IF(GlobBerMedDisc!C26&gt;1,GlobBerMedDisc!F26,"")</f>
        <v/>
      </c>
      <c r="M33" s="488" t="str">
        <f>GlobBerMedDisc!Z26</f>
        <v/>
      </c>
      <c r="N33" s="488" t="str">
        <f>GlobBerMedDisc!AO26</f>
        <v/>
      </c>
      <c r="O33" s="488" t="str">
        <f>IF(AND(GlobBerMedDisc!C26&gt;1,GlobBerMedDisc!P26&gt;1),GlobBerMedDisc!O26,"")</f>
        <v/>
      </c>
      <c r="P33" s="488" t="str">
        <f>IF(AND(GlobBerMedDisc!C26&gt;1,O33&lt;&gt;0,GlobBerMedDisc!P26&gt;1),"ml","")</f>
        <v/>
      </c>
      <c r="Q33" s="488"/>
      <c r="R33" s="488" t="str">
        <f>GlobBerMedDisc!AP26</f>
        <v/>
      </c>
      <c r="S33" s="488" t="str">
        <f>IF(AND(O33&lt;&gt;"",GlobBerMedDisc!R26&gt;0),GlobBerMedDisc!R26&amp;" min","")</f>
        <v/>
      </c>
      <c r="T33" s="488" t="str">
        <f>GlobBerMedDisc!AS26</f>
        <v/>
      </c>
      <c r="U33" s="482"/>
      <c r="V33" s="482"/>
      <c r="W33" s="482"/>
      <c r="X33" s="482"/>
      <c r="Y33" s="482"/>
      <c r="Z33" s="482"/>
    </row>
    <row r="34" spans="2:26" ht="20.100000000000001" customHeight="1" thickTop="1" thickBot="1" x14ac:dyDescent="0.25">
      <c r="B34" s="534" t="str">
        <f>GlobBerMedDisc!AN27</f>
        <v/>
      </c>
      <c r="C34" s="534" t="str">
        <f>GlobBerMedDisc!AQ27</f>
        <v/>
      </c>
      <c r="D34" s="678">
        <v>26</v>
      </c>
      <c r="E34" s="485" t="str">
        <f>IF(LEN(GlobBerMedDisc!B27)&gt;20, LEFT(GlobBerMedDisc!B27,20)&amp;"…",IF(LEN(GlobBerMedDisc!B27)&gt;0,GlobBerMedDisc!B27,""))</f>
        <v/>
      </c>
      <c r="F34" s="827" t="str">
        <f>GlobBerMedDisc!AR27</f>
        <v/>
      </c>
      <c r="G34" s="827"/>
      <c r="H34" s="827"/>
      <c r="I34" s="827"/>
      <c r="J34" s="485" t="str">
        <f>GlobBerMedDisc!X27</f>
        <v/>
      </c>
      <c r="K34" s="486" t="str">
        <f>IF(GlobBerMedDisc!C27&gt;1,GlobBerMedDisc!H27,"")</f>
        <v/>
      </c>
      <c r="L34" s="487" t="str">
        <f>IF(GlobBerMedDisc!C27&gt;1,GlobBerMedDisc!F27,"")</f>
        <v/>
      </c>
      <c r="M34" s="488" t="str">
        <f>GlobBerMedDisc!Z27</f>
        <v/>
      </c>
      <c r="N34" s="488" t="str">
        <f>GlobBerMedDisc!AO27</f>
        <v/>
      </c>
      <c r="O34" s="488" t="str">
        <f>IF(AND(GlobBerMedDisc!C27&gt;1,GlobBerMedDisc!P27&gt;1),GlobBerMedDisc!O27,"")</f>
        <v/>
      </c>
      <c r="P34" s="488" t="str">
        <f>IF(AND(GlobBerMedDisc!C27&gt;1,O34&lt;&gt;0,GlobBerMedDisc!P27&gt;1),"ml","")</f>
        <v/>
      </c>
      <c r="Q34" s="488"/>
      <c r="R34" s="488" t="str">
        <f>GlobBerMedDisc!AP27</f>
        <v/>
      </c>
      <c r="S34" s="488" t="str">
        <f>IF(AND(O34&lt;&gt;"",GlobBerMedDisc!R27&gt;0),GlobBerMedDisc!R27&amp;" min","")</f>
        <v/>
      </c>
      <c r="T34" s="488" t="str">
        <f>GlobBerMedDisc!AS27</f>
        <v/>
      </c>
      <c r="U34" s="482"/>
      <c r="V34" s="482"/>
      <c r="W34" s="482"/>
      <c r="X34" s="482"/>
      <c r="Y34" s="482"/>
      <c r="Z34" s="482"/>
    </row>
    <row r="35" spans="2:26" ht="20.100000000000001" customHeight="1" thickTop="1" thickBot="1" x14ac:dyDescent="0.25">
      <c r="B35" s="534" t="str">
        <f>GlobBerMedDisc!AN28</f>
        <v/>
      </c>
      <c r="C35" s="534" t="str">
        <f>GlobBerMedDisc!AQ28</f>
        <v/>
      </c>
      <c r="D35" s="678">
        <v>27</v>
      </c>
      <c r="E35" s="485" t="str">
        <f>IF(LEN(GlobBerMedDisc!B28)&gt;20, LEFT(GlobBerMedDisc!B28,20)&amp;"…",IF(LEN(GlobBerMedDisc!B28)&gt;0,GlobBerMedDisc!B28,""))</f>
        <v/>
      </c>
      <c r="F35" s="827" t="str">
        <f>GlobBerMedDisc!AR28</f>
        <v/>
      </c>
      <c r="G35" s="827"/>
      <c r="H35" s="827"/>
      <c r="I35" s="827"/>
      <c r="J35" s="485" t="str">
        <f>GlobBerMedDisc!X28</f>
        <v/>
      </c>
      <c r="K35" s="486" t="str">
        <f>IF(GlobBerMedDisc!C28&gt;1,GlobBerMedDisc!H28,"")</f>
        <v/>
      </c>
      <c r="L35" s="487" t="str">
        <f>IF(GlobBerMedDisc!C28&gt;1,GlobBerMedDisc!F28,"")</f>
        <v/>
      </c>
      <c r="M35" s="488" t="str">
        <f>GlobBerMedDisc!Z28</f>
        <v/>
      </c>
      <c r="N35" s="488" t="str">
        <f>GlobBerMedDisc!AO28</f>
        <v/>
      </c>
      <c r="O35" s="488" t="str">
        <f>IF(AND(GlobBerMedDisc!C28&gt;1,GlobBerMedDisc!P28&gt;1),GlobBerMedDisc!O28,"")</f>
        <v/>
      </c>
      <c r="P35" s="488" t="str">
        <f>IF(AND(GlobBerMedDisc!C28&gt;1,O35&lt;&gt;0,GlobBerMedDisc!P28&gt;1),"ml","")</f>
        <v/>
      </c>
      <c r="Q35" s="488"/>
      <c r="R35" s="488" t="str">
        <f>GlobBerMedDisc!AP28</f>
        <v/>
      </c>
      <c r="S35" s="488" t="str">
        <f>IF(AND(O35&lt;&gt;"",GlobBerMedDisc!R28&gt;0),GlobBerMedDisc!R28&amp;" min","")</f>
        <v/>
      </c>
      <c r="T35" s="488" t="str">
        <f>GlobBerMedDisc!AS28</f>
        <v/>
      </c>
      <c r="U35" s="482"/>
      <c r="V35" s="482"/>
      <c r="W35" s="482"/>
      <c r="X35" s="482"/>
      <c r="Y35" s="482"/>
      <c r="Z35" s="482"/>
    </row>
    <row r="36" spans="2:26" ht="20.100000000000001" customHeight="1" thickTop="1" thickBot="1" x14ac:dyDescent="0.25">
      <c r="B36" s="534" t="str">
        <f>GlobBerMedDisc!AN29</f>
        <v/>
      </c>
      <c r="C36" s="534" t="str">
        <f>GlobBerMedDisc!AQ29</f>
        <v/>
      </c>
      <c r="D36" s="678">
        <v>28</v>
      </c>
      <c r="E36" s="485" t="str">
        <f>IF(LEN(GlobBerMedDisc!B29)&gt;20, LEFT(GlobBerMedDisc!B29,20)&amp;"…",IF(LEN(GlobBerMedDisc!B29)&gt;0,GlobBerMedDisc!B29,""))</f>
        <v/>
      </c>
      <c r="F36" s="827" t="str">
        <f>GlobBerMedDisc!AR29</f>
        <v/>
      </c>
      <c r="G36" s="827"/>
      <c r="H36" s="827"/>
      <c r="I36" s="827"/>
      <c r="J36" s="485" t="str">
        <f>GlobBerMedDisc!X29</f>
        <v/>
      </c>
      <c r="K36" s="486" t="str">
        <f>IF(GlobBerMedDisc!C29&gt;1,GlobBerMedDisc!H29,"")</f>
        <v/>
      </c>
      <c r="L36" s="487" t="str">
        <f>IF(GlobBerMedDisc!C29&gt;1,GlobBerMedDisc!F29,"")</f>
        <v/>
      </c>
      <c r="M36" s="488" t="str">
        <f>GlobBerMedDisc!Z29</f>
        <v/>
      </c>
      <c r="N36" s="488" t="str">
        <f>GlobBerMedDisc!AO29</f>
        <v/>
      </c>
      <c r="O36" s="488" t="str">
        <f>IF(AND(GlobBerMedDisc!C29&gt;1,GlobBerMedDisc!P29&gt;1),GlobBerMedDisc!O29,"")</f>
        <v/>
      </c>
      <c r="P36" s="488" t="str">
        <f>IF(AND(GlobBerMedDisc!C29&gt;1,O36&lt;&gt;0,GlobBerMedDisc!P29&gt;1),"ml","")</f>
        <v/>
      </c>
      <c r="Q36" s="488"/>
      <c r="R36" s="488" t="str">
        <f>GlobBerMedDisc!AP29</f>
        <v/>
      </c>
      <c r="S36" s="488" t="str">
        <f>IF(AND(O36&lt;&gt;"",GlobBerMedDisc!R29&gt;0),GlobBerMedDisc!R29&amp;" min","")</f>
        <v/>
      </c>
      <c r="T36" s="488" t="str">
        <f>GlobBerMedDisc!AS29</f>
        <v/>
      </c>
      <c r="U36" s="482"/>
      <c r="V36" s="482"/>
      <c r="W36" s="482"/>
      <c r="X36" s="482"/>
      <c r="Y36" s="482"/>
      <c r="Z36" s="482"/>
    </row>
    <row r="37" spans="2:26" ht="20.100000000000001" customHeight="1" thickTop="1" thickBot="1" x14ac:dyDescent="0.25">
      <c r="B37" s="534" t="str">
        <f>GlobBerMedDisc!AN30</f>
        <v/>
      </c>
      <c r="C37" s="534" t="str">
        <f>GlobBerMedDisc!AQ30</f>
        <v/>
      </c>
      <c r="D37" s="678">
        <v>29</v>
      </c>
      <c r="E37" s="485" t="str">
        <f>IF(LEN(GlobBerMedDisc!B30)&gt;20, LEFT(GlobBerMedDisc!B30,20)&amp;"…",IF(LEN(GlobBerMedDisc!B30)&gt;0,GlobBerMedDisc!B30,""))</f>
        <v/>
      </c>
      <c r="F37" s="827" t="str">
        <f>GlobBerMedDisc!AR30</f>
        <v/>
      </c>
      <c r="G37" s="827"/>
      <c r="H37" s="827"/>
      <c r="I37" s="827"/>
      <c r="J37" s="485" t="str">
        <f>GlobBerMedDisc!X30</f>
        <v/>
      </c>
      <c r="K37" s="486" t="str">
        <f>IF(GlobBerMedDisc!C30&gt;1,GlobBerMedDisc!H30,"")</f>
        <v/>
      </c>
      <c r="L37" s="487" t="str">
        <f>IF(GlobBerMedDisc!C30&gt;1,GlobBerMedDisc!F30,"")</f>
        <v/>
      </c>
      <c r="M37" s="488" t="str">
        <f>GlobBerMedDisc!Z30</f>
        <v/>
      </c>
      <c r="N37" s="488" t="str">
        <f>GlobBerMedDisc!AO30</f>
        <v/>
      </c>
      <c r="O37" s="488" t="str">
        <f>IF(AND(GlobBerMedDisc!C30&gt;1,GlobBerMedDisc!P30&gt;1),GlobBerMedDisc!O30,"")</f>
        <v/>
      </c>
      <c r="P37" s="488" t="str">
        <f>IF(AND(GlobBerMedDisc!C30&gt;1,O37&lt;&gt;0,GlobBerMedDisc!P30&gt;1),"ml","")</f>
        <v/>
      </c>
      <c r="Q37" s="488"/>
      <c r="R37" s="488" t="str">
        <f>GlobBerMedDisc!AP30</f>
        <v/>
      </c>
      <c r="S37" s="488" t="str">
        <f>IF(AND(O37&lt;&gt;"",GlobBerMedDisc!R30&gt;0),GlobBerMedDisc!R30&amp;" min","")</f>
        <v/>
      </c>
      <c r="T37" s="488" t="str">
        <f>GlobBerMedDisc!AS30</f>
        <v/>
      </c>
      <c r="U37" s="482"/>
      <c r="V37" s="482"/>
      <c r="W37" s="482"/>
      <c r="X37" s="482"/>
      <c r="Y37" s="482"/>
      <c r="Z37" s="482"/>
    </row>
    <row r="38" spans="2:26" ht="20.100000000000001" customHeight="1" thickTop="1" thickBot="1" x14ac:dyDescent="0.25">
      <c r="B38" s="534" t="str">
        <f>GlobBerMedDisc!AN31</f>
        <v/>
      </c>
      <c r="C38" s="534" t="str">
        <f>GlobBerMedDisc!AQ31</f>
        <v/>
      </c>
      <c r="D38" s="678">
        <v>30</v>
      </c>
      <c r="E38" s="481" t="str">
        <f>IF(LEN(GlobBerMedDisc!B31)&gt;20, LEFT(GlobBerMedDisc!B31,20)&amp;"…",IF(LEN(GlobBerMedDisc!B31)&gt;0,GlobBerMedDisc!B31,""))</f>
        <v/>
      </c>
      <c r="F38" s="828" t="str">
        <f>GlobBerMedDisc!AR31</f>
        <v/>
      </c>
      <c r="G38" s="828"/>
      <c r="H38" s="828"/>
      <c r="I38" s="828"/>
      <c r="J38" s="481" t="str">
        <f>GlobBerMedDisc!X31</f>
        <v/>
      </c>
      <c r="K38" s="484" t="str">
        <f>IF(GlobBerMedDisc!C31&gt;1,GlobBerMedDisc!H31,"")</f>
        <v/>
      </c>
      <c r="L38" s="478" t="str">
        <f>IF(GlobBerMedDisc!C31&gt;1,GlobBerMedDisc!F31,"")</f>
        <v/>
      </c>
      <c r="M38" s="479" t="str">
        <f>GlobBerMedDisc!Z31</f>
        <v/>
      </c>
      <c r="N38" s="479" t="str">
        <f>GlobBerMedDisc!AO31</f>
        <v/>
      </c>
      <c r="O38" s="479" t="str">
        <f>IF(AND(GlobBerMedDisc!C31&gt;1,GlobBerMedDisc!P31&gt;1),GlobBerMedDisc!O31,"")</f>
        <v/>
      </c>
      <c r="P38" s="479" t="str">
        <f>IF(AND(GlobBerMedDisc!C31&gt;1,O38&lt;&gt;0,GlobBerMedDisc!P31&gt;1),"ml","")</f>
        <v/>
      </c>
      <c r="Q38" s="479"/>
      <c r="R38" s="479" t="str">
        <f>GlobBerMedDisc!AP31</f>
        <v/>
      </c>
      <c r="S38" s="479" t="str">
        <f>IF(AND(O38&lt;&gt;"",GlobBerMedDisc!R31&gt;0),GlobBerMedDisc!R31&amp;" min","")</f>
        <v/>
      </c>
      <c r="T38" s="479" t="str">
        <f>GlobBerMedDisc!AS31</f>
        <v/>
      </c>
      <c r="U38" s="482"/>
      <c r="V38" s="482"/>
      <c r="W38" s="482"/>
      <c r="X38" s="482"/>
      <c r="Y38" s="482"/>
      <c r="Z38" s="482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51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1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51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51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52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52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52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52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53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53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53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53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53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60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60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60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60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61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61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61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61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61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62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62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62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62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62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63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63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63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63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64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64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64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64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64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64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64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65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65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65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65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65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66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662" stopIfTrue="1" id="{00000000-0000-0000-0000-000000000000}">
            <xm:f>GlobBerMedDisc!BN3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GlobBerMedDisc!BN4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664" stopIfTrue="1" id="{00000000-0000-0000-0000-000000000000}">
            <xm:f>GlobBerMedDisc!BN5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GlobBerMedDisc!BN6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666" stopIfTrue="1" id="{00000000-0000-0000-0000-000000000000}">
            <xm:f>GlobBerMedDisc!BN7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GlobBerMedDisc!BN8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668" stopIfTrue="1" id="{00000000-0000-0000-0000-000000000000}">
            <xm:f>GlobBerMedDisc!BN9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GlobBerMedDisc!BN10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670" stopIfTrue="1" id="{00000000-0000-0000-0000-000000000000}">
            <xm:f>GlobBerMedDisc!BN11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GlobBerMedDisc!BN12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672" stopIfTrue="1" id="{00000000-0000-0000-0000-000000000000}">
            <xm:f>GlobBerMedDisc!BN13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GlobBerMedDisc!BN14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674" stopIfTrue="1" id="{00000000-0000-0000-0000-000000000000}">
            <xm:f>GlobBerMedDisc!BN15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GlobBerMedDisc!BN16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676" stopIfTrue="1" id="{00000000-0000-0000-0000-000000000000}">
            <xm:f>GlobBerMedDisc!BN17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GlobBerMedDisc!BN18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678" stopIfTrue="1" id="{00000000-0000-0000-0000-000000000000}">
            <xm:f>GlobBerMedDisc!BN19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F26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GlobBerMedDisc!BN20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680" stopIfTrue="1" id="{00000000-0000-0000-0000-000000000000}">
            <xm:f>GlobBerMedDisc!BN21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F28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GlobBerMedDisc!BN22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682" stopIfTrue="1" id="{00000000-0000-0000-0000-000000000000}">
            <xm:f>GlobBerMedDisc!BN23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GlobBerMedDisc!BN24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684" stopIfTrue="1" id="{00000000-0000-0000-0000-000000000000}">
            <xm:f>GlobBerMedDisc!BN25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F32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GlobBerMedDisc!BN26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686" stopIfTrue="1" id="{00000000-0000-0000-0000-000000000000}">
            <xm:f>GlobBerMedDisc!BN27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GlobBerMedDisc!BN28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F35</xm:sqref>
        </x14:conditionalFormatting>
        <x14:conditionalFormatting xmlns:xm="http://schemas.microsoft.com/office/excel/2006/main">
          <x14:cfRule type="expression" priority="688" stopIfTrue="1" id="{00000000-0000-0000-0000-000000000000}">
            <xm:f>GlobBerMedDisc!BN29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F36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GlobBerMedDisc!BN30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690" stopIfTrue="1" id="{00000000-0000-0000-0000-000000000000}">
            <xm:f>GlobBerMedDisc!BN31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O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</cols>
  <sheetData>
    <row r="1" spans="1:67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5303</v>
      </c>
      <c r="AB1" s="209" t="s">
        <v>5263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5438</v>
      </c>
      <c r="AU1" s="209" t="s">
        <v>5439</v>
      </c>
      <c r="AV1" s="209" t="s">
        <v>5440</v>
      </c>
      <c r="AW1" s="209" t="s">
        <v>5441</v>
      </c>
      <c r="AX1" s="209" t="s">
        <v>5442</v>
      </c>
      <c r="AY1" s="209" t="s">
        <v>5443</v>
      </c>
      <c r="AZ1" s="209" t="s">
        <v>5444</v>
      </c>
      <c r="BA1" s="209" t="s">
        <v>5445</v>
      </c>
      <c r="BB1" s="209" t="s">
        <v>5446</v>
      </c>
      <c r="BC1" s="209" t="s">
        <v>5447</v>
      </c>
      <c r="BD1" s="209" t="s">
        <v>3328</v>
      </c>
      <c r="BE1" s="209" t="s">
        <v>157</v>
      </c>
      <c r="BF1" s="209" t="s">
        <v>5821</v>
      </c>
      <c r="BG1" s="209" t="s">
        <v>5822</v>
      </c>
      <c r="BH1" s="209" t="s">
        <v>5823</v>
      </c>
      <c r="BI1" s="209" t="s">
        <v>5824</v>
      </c>
      <c r="BJ1" s="209" t="s">
        <v>5825</v>
      </c>
      <c r="BK1" s="209" t="s">
        <v>6127</v>
      </c>
      <c r="BL1" s="209" t="s">
        <v>6128</v>
      </c>
      <c r="BM1" s="209" t="s">
        <v>6129</v>
      </c>
      <c r="BN1" s="209" t="s">
        <v>7077</v>
      </c>
      <c r="BO1" s="209" t="s">
        <v>7078</v>
      </c>
    </row>
    <row r="2" spans="1:67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</row>
    <row r="3" spans="1:67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8">IF(_Pat_Gewicht&gt;0,IF(ROUND(10*K3/_Pat_Gewicht,1) = 0,ROUND(10*K3/_Pat_Gewicht,2),ROUND(10*K3/_Pat_Gewicht,1) ),0)</f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1">IF(D3="","",IF(V3=-1,C3,D3))</f>
        <v/>
      </c>
      <c r="X3" s="208" t="str">
        <f t="shared" si="6"/>
        <v/>
      </c>
      <c r="Y3" s="208" t="str">
        <f t="shared" ref="Y3:Y31" si="22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4">IF(AH3,"PRN","")</f>
        <v/>
      </c>
      <c r="AR3" s="208" t="str">
        <f t="shared" si="14"/>
        <v/>
      </c>
      <c r="AS3" s="208" t="str">
        <f t="shared" ref="AS3:AS31" si="25">IF(AH3,"PRN: "&amp;AI3&amp;" "&amp;AD3,IF(AD3="","",AD3))</f>
        <v/>
      </c>
      <c r="AV3" s="208" t="b">
        <f t="shared" ref="AV3:AV31" si="26">AND(AT3&lt;&gt;0,$M3&lt;AT3)</f>
        <v>0</v>
      </c>
      <c r="AW3" s="208" t="b">
        <f t="shared" ref="AW3:AW31" si="27">AND(AU3&lt;&gt;0,$M3&gt;AU3)</f>
        <v>0</v>
      </c>
      <c r="BA3" s="208" t="b">
        <f t="shared" ref="BA3:BA31" si="28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9">AND(AZ3&lt;&gt;"",AZ3&lt;&gt;0,R3&lt;AZ3)</f>
        <v>0</v>
      </c>
      <c r="BD3" s="208">
        <f t="shared" ref="BD3:BD31" si="30">IF(AND(C3&gt;1,P3&gt;1,O3&gt;0),ROUND(H3/O3,2),0)</f>
        <v>0</v>
      </c>
      <c r="BF3" s="208" t="b">
        <f t="shared" ref="BF3:BF31" si="31">AND(BE3&lt;&gt;"",BE3&lt;&gt;0,NOT(ContainsCaseInsensitive(BE3,X3)))</f>
        <v>0</v>
      </c>
      <c r="BH3" s="209" t="b">
        <f t="shared" ref="BH3:BH31" si="32">AND(OR(AT3=0,AT3=""),BG3&lt;&gt;0,BG3&lt;&gt;"",M3&lt;0.9*BG3)</f>
        <v>0</v>
      </c>
      <c r="BI3" s="209" t="b">
        <f t="shared" ref="BI3:BI31" si="33">AND(OR(AU3=0,AU3=""),BG3&lt;&gt;0,BG3&lt;&gt;"",M3&gt;(1.1*BG3))</f>
        <v>0</v>
      </c>
      <c r="BK3" s="208" t="b">
        <f t="shared" si="16"/>
        <v>0</v>
      </c>
      <c r="BL3" s="208" t="b">
        <f t="shared" ref="BL3:BL31" si="34">OR(BH3,BI3)</f>
        <v>0</v>
      </c>
      <c r="BM3" s="208" t="b">
        <f t="shared" ref="BM3:BM31" si="35">OR(AV3,AW3,BK3)</f>
        <v>0</v>
      </c>
      <c r="BN3" s="208" t="b">
        <f t="shared" si="17"/>
        <v>0</v>
      </c>
      <c r="BO3" s="208" t="str">
        <f t="shared" ref="BO3:BO31" si="36">UPPER( TRIM(D3&amp;" "&amp;L3))</f>
        <v/>
      </c>
    </row>
    <row r="4" spans="1:67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8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1"/>
        <v/>
      </c>
      <c r="X4" s="208" t="str">
        <f t="shared" si="6"/>
        <v/>
      </c>
      <c r="Y4" s="208" t="str">
        <f t="shared" si="22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4"/>
        <v/>
      </c>
      <c r="AR4" s="208" t="str">
        <f t="shared" si="14"/>
        <v/>
      </c>
      <c r="AS4" s="208" t="str">
        <f t="shared" si="25"/>
        <v/>
      </c>
      <c r="AV4" s="208" t="b">
        <f t="shared" si="26"/>
        <v>0</v>
      </c>
      <c r="AW4" s="208" t="b">
        <f t="shared" si="27"/>
        <v>0</v>
      </c>
      <c r="BA4" s="208" t="b">
        <f t="shared" si="28"/>
        <v>0</v>
      </c>
      <c r="BB4" s="208" t="b">
        <f t="shared" si="15"/>
        <v>0</v>
      </c>
      <c r="BC4" s="209" t="b">
        <f t="shared" si="29"/>
        <v>0</v>
      </c>
      <c r="BD4" s="208">
        <f t="shared" si="30"/>
        <v>0</v>
      </c>
      <c r="BF4" s="208" t="b">
        <f t="shared" si="31"/>
        <v>0</v>
      </c>
      <c r="BH4" s="209" t="b">
        <f t="shared" si="32"/>
        <v>0</v>
      </c>
      <c r="BI4" s="209" t="b">
        <f t="shared" si="33"/>
        <v>0</v>
      </c>
      <c r="BK4" s="208" t="b">
        <f t="shared" si="16"/>
        <v>0</v>
      </c>
      <c r="BL4" s="208" t="b">
        <f t="shared" si="34"/>
        <v>0</v>
      </c>
      <c r="BM4" s="208" t="b">
        <f t="shared" si="35"/>
        <v>0</v>
      </c>
      <c r="BN4" s="208" t="b">
        <f t="shared" si="17"/>
        <v>0</v>
      </c>
      <c r="BO4" s="208" t="str">
        <f t="shared" si="36"/>
        <v/>
      </c>
    </row>
    <row r="5" spans="1:67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8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1"/>
        <v/>
      </c>
      <c r="X5" s="208" t="str">
        <f t="shared" si="6"/>
        <v/>
      </c>
      <c r="Y5" s="208" t="str">
        <f t="shared" si="22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4"/>
        <v/>
      </c>
      <c r="AR5" s="208" t="str">
        <f t="shared" si="14"/>
        <v/>
      </c>
      <c r="AS5" s="208" t="str">
        <f t="shared" si="25"/>
        <v/>
      </c>
      <c r="AV5" s="208" t="b">
        <f t="shared" si="26"/>
        <v>0</v>
      </c>
      <c r="AW5" s="208" t="b">
        <f t="shared" si="27"/>
        <v>0</v>
      </c>
      <c r="BA5" s="208" t="b">
        <f t="shared" si="28"/>
        <v>0</v>
      </c>
      <c r="BB5" s="208" t="b">
        <f t="shared" si="15"/>
        <v>0</v>
      </c>
      <c r="BC5" s="209" t="b">
        <f t="shared" si="29"/>
        <v>0</v>
      </c>
      <c r="BD5" s="208">
        <f t="shared" si="30"/>
        <v>0</v>
      </c>
      <c r="BF5" s="208" t="b">
        <f t="shared" si="31"/>
        <v>0</v>
      </c>
      <c r="BH5" s="209" t="b">
        <f t="shared" si="32"/>
        <v>0</v>
      </c>
      <c r="BI5" s="209" t="b">
        <f t="shared" si="33"/>
        <v>0</v>
      </c>
      <c r="BK5" s="208" t="b">
        <f t="shared" si="16"/>
        <v>0</v>
      </c>
      <c r="BL5" s="208" t="b">
        <f t="shared" si="34"/>
        <v>0</v>
      </c>
      <c r="BM5" s="208" t="b">
        <f t="shared" si="35"/>
        <v>0</v>
      </c>
      <c r="BN5" s="208" t="b">
        <f t="shared" si="17"/>
        <v>0</v>
      </c>
      <c r="BO5" s="208" t="str">
        <f t="shared" si="36"/>
        <v/>
      </c>
    </row>
    <row r="6" spans="1:67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8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1"/>
        <v/>
      </c>
      <c r="X6" s="208" t="str">
        <f t="shared" si="6"/>
        <v/>
      </c>
      <c r="Y6" s="208" t="str">
        <f t="shared" si="22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4"/>
        <v/>
      </c>
      <c r="AR6" s="208" t="str">
        <f t="shared" si="14"/>
        <v/>
      </c>
      <c r="AS6" s="208" t="str">
        <f t="shared" si="25"/>
        <v/>
      </c>
      <c r="AV6" s="208" t="b">
        <f t="shared" si="26"/>
        <v>0</v>
      </c>
      <c r="AW6" s="208" t="b">
        <f t="shared" si="27"/>
        <v>0</v>
      </c>
      <c r="BA6" s="208" t="b">
        <f t="shared" si="28"/>
        <v>0</v>
      </c>
      <c r="BB6" s="208" t="b">
        <f t="shared" si="15"/>
        <v>0</v>
      </c>
      <c r="BC6" s="209" t="b">
        <f t="shared" si="29"/>
        <v>0</v>
      </c>
      <c r="BD6" s="208">
        <f t="shared" si="30"/>
        <v>0</v>
      </c>
      <c r="BF6" s="208" t="b">
        <f t="shared" si="31"/>
        <v>0</v>
      </c>
      <c r="BH6" s="209" t="b">
        <f t="shared" si="32"/>
        <v>0</v>
      </c>
      <c r="BI6" s="209" t="b">
        <f t="shared" si="33"/>
        <v>0</v>
      </c>
      <c r="BK6" s="208" t="b">
        <f t="shared" si="16"/>
        <v>0</v>
      </c>
      <c r="BL6" s="208" t="b">
        <f t="shared" si="34"/>
        <v>0</v>
      </c>
      <c r="BM6" s="208" t="b">
        <f t="shared" si="35"/>
        <v>0</v>
      </c>
      <c r="BN6" s="208" t="b">
        <f t="shared" si="17"/>
        <v>0</v>
      </c>
      <c r="BO6" s="208" t="str">
        <f t="shared" si="36"/>
        <v/>
      </c>
    </row>
    <row r="7" spans="1:67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8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1"/>
        <v/>
      </c>
      <c r="X7" s="208" t="str">
        <f t="shared" si="6"/>
        <v/>
      </c>
      <c r="Y7" s="208" t="str">
        <f t="shared" si="22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4"/>
        <v/>
      </c>
      <c r="AR7" s="208" t="str">
        <f t="shared" si="14"/>
        <v/>
      </c>
      <c r="AS7" s="208" t="str">
        <f t="shared" si="25"/>
        <v/>
      </c>
      <c r="AV7" s="208" t="b">
        <f t="shared" si="26"/>
        <v>0</v>
      </c>
      <c r="AW7" s="208" t="b">
        <f t="shared" si="27"/>
        <v>0</v>
      </c>
      <c r="BA7" s="208" t="b">
        <f t="shared" si="28"/>
        <v>0</v>
      </c>
      <c r="BB7" s="208" t="b">
        <f t="shared" si="15"/>
        <v>0</v>
      </c>
      <c r="BC7" s="209" t="b">
        <f t="shared" si="29"/>
        <v>0</v>
      </c>
      <c r="BD7" s="208">
        <f t="shared" si="30"/>
        <v>0</v>
      </c>
      <c r="BF7" s="208" t="b">
        <f t="shared" si="31"/>
        <v>0</v>
      </c>
      <c r="BH7" s="209" t="b">
        <f t="shared" si="32"/>
        <v>0</v>
      </c>
      <c r="BI7" s="209" t="b">
        <f t="shared" si="33"/>
        <v>0</v>
      </c>
      <c r="BK7" s="208" t="b">
        <f t="shared" si="16"/>
        <v>0</v>
      </c>
      <c r="BL7" s="208" t="b">
        <f t="shared" si="34"/>
        <v>0</v>
      </c>
      <c r="BM7" s="208" t="b">
        <f t="shared" si="35"/>
        <v>0</v>
      </c>
      <c r="BN7" s="208" t="b">
        <f t="shared" si="17"/>
        <v>0</v>
      </c>
      <c r="BO7" s="208" t="str">
        <f t="shared" si="36"/>
        <v/>
      </c>
    </row>
    <row r="8" spans="1:67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8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1"/>
        <v/>
      </c>
      <c r="X8" s="208" t="str">
        <f t="shared" si="6"/>
        <v/>
      </c>
      <c r="Y8" s="208" t="str">
        <f t="shared" si="22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4"/>
        <v/>
      </c>
      <c r="AR8" s="208" t="str">
        <f t="shared" si="14"/>
        <v/>
      </c>
      <c r="AS8" s="208" t="str">
        <f t="shared" si="25"/>
        <v/>
      </c>
      <c r="AV8" s="208" t="b">
        <f t="shared" si="26"/>
        <v>0</v>
      </c>
      <c r="AW8" s="208" t="b">
        <f t="shared" si="27"/>
        <v>0</v>
      </c>
      <c r="BA8" s="208" t="b">
        <f t="shared" si="28"/>
        <v>0</v>
      </c>
      <c r="BB8" s="208" t="b">
        <f t="shared" si="15"/>
        <v>0</v>
      </c>
      <c r="BC8" s="209" t="b">
        <f t="shared" si="29"/>
        <v>0</v>
      </c>
      <c r="BD8" s="208">
        <f t="shared" si="30"/>
        <v>0</v>
      </c>
      <c r="BF8" s="208" t="b">
        <f t="shared" si="31"/>
        <v>0</v>
      </c>
      <c r="BH8" s="209" t="b">
        <f t="shared" si="32"/>
        <v>0</v>
      </c>
      <c r="BI8" s="209" t="b">
        <f t="shared" si="33"/>
        <v>0</v>
      </c>
      <c r="BK8" s="208" t="b">
        <f t="shared" si="16"/>
        <v>0</v>
      </c>
      <c r="BL8" s="208" t="b">
        <f t="shared" si="34"/>
        <v>0</v>
      </c>
      <c r="BM8" s="208" t="b">
        <f t="shared" si="35"/>
        <v>0</v>
      </c>
      <c r="BN8" s="208" t="b">
        <f t="shared" si="17"/>
        <v>0</v>
      </c>
      <c r="BO8" s="208" t="str">
        <f t="shared" si="36"/>
        <v/>
      </c>
    </row>
    <row r="9" spans="1:67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8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1"/>
        <v/>
      </c>
      <c r="X9" s="208" t="str">
        <f t="shared" si="6"/>
        <v/>
      </c>
      <c r="Y9" s="208" t="str">
        <f t="shared" si="22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4"/>
        <v/>
      </c>
      <c r="AR9" s="208" t="str">
        <f t="shared" si="14"/>
        <v/>
      </c>
      <c r="AS9" s="208" t="str">
        <f t="shared" si="25"/>
        <v/>
      </c>
      <c r="AV9" s="208" t="b">
        <f t="shared" si="26"/>
        <v>0</v>
      </c>
      <c r="AW9" s="208" t="b">
        <f t="shared" si="27"/>
        <v>0</v>
      </c>
      <c r="BA9" s="208" t="b">
        <f t="shared" si="28"/>
        <v>0</v>
      </c>
      <c r="BB9" s="208" t="b">
        <f t="shared" si="15"/>
        <v>0</v>
      </c>
      <c r="BC9" s="209" t="b">
        <f t="shared" si="29"/>
        <v>0</v>
      </c>
      <c r="BD9" s="208">
        <f t="shared" si="30"/>
        <v>0</v>
      </c>
      <c r="BF9" s="208" t="b">
        <f t="shared" si="31"/>
        <v>0</v>
      </c>
      <c r="BH9" s="209" t="b">
        <f t="shared" si="32"/>
        <v>0</v>
      </c>
      <c r="BI9" s="209" t="b">
        <f t="shared" si="33"/>
        <v>0</v>
      </c>
      <c r="BK9" s="208" t="b">
        <f t="shared" si="16"/>
        <v>0</v>
      </c>
      <c r="BL9" s="208" t="b">
        <f t="shared" si="34"/>
        <v>0</v>
      </c>
      <c r="BM9" s="208" t="b">
        <f t="shared" si="35"/>
        <v>0</v>
      </c>
      <c r="BN9" s="208" t="b">
        <f t="shared" si="17"/>
        <v>0</v>
      </c>
      <c r="BO9" s="208" t="str">
        <f t="shared" si="36"/>
        <v/>
      </c>
    </row>
    <row r="10" spans="1:67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8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1"/>
        <v/>
      </c>
      <c r="X10" s="208" t="str">
        <f t="shared" si="6"/>
        <v/>
      </c>
      <c r="Y10" s="208" t="str">
        <f t="shared" si="22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4"/>
        <v/>
      </c>
      <c r="AR10" s="208" t="str">
        <f t="shared" si="14"/>
        <v/>
      </c>
      <c r="AS10" s="208" t="str">
        <f t="shared" si="25"/>
        <v/>
      </c>
      <c r="AV10" s="208" t="b">
        <f t="shared" si="26"/>
        <v>0</v>
      </c>
      <c r="AW10" s="208" t="b">
        <f t="shared" si="27"/>
        <v>0</v>
      </c>
      <c r="BA10" s="208" t="b">
        <f t="shared" si="28"/>
        <v>0</v>
      </c>
      <c r="BB10" s="208" t="b">
        <f t="shared" si="15"/>
        <v>0</v>
      </c>
      <c r="BC10" s="209" t="b">
        <f t="shared" si="29"/>
        <v>0</v>
      </c>
      <c r="BD10" s="208">
        <f t="shared" si="30"/>
        <v>0</v>
      </c>
      <c r="BF10" s="208" t="b">
        <f t="shared" si="31"/>
        <v>0</v>
      </c>
      <c r="BH10" s="209" t="b">
        <f t="shared" si="32"/>
        <v>0</v>
      </c>
      <c r="BI10" s="209" t="b">
        <f t="shared" si="33"/>
        <v>0</v>
      </c>
      <c r="BK10" s="208" t="b">
        <f t="shared" si="16"/>
        <v>0</v>
      </c>
      <c r="BL10" s="208" t="b">
        <f t="shared" si="34"/>
        <v>0</v>
      </c>
      <c r="BM10" s="208" t="b">
        <f t="shared" si="35"/>
        <v>0</v>
      </c>
      <c r="BN10" s="208" t="b">
        <f t="shared" si="17"/>
        <v>0</v>
      </c>
      <c r="BO10" s="208" t="str">
        <f t="shared" si="36"/>
        <v/>
      </c>
    </row>
    <row r="11" spans="1:67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8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1"/>
        <v/>
      </c>
      <c r="X11" s="208" t="str">
        <f t="shared" si="6"/>
        <v/>
      </c>
      <c r="Y11" s="208" t="str">
        <f t="shared" si="22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4"/>
        <v/>
      </c>
      <c r="AR11" s="208" t="str">
        <f t="shared" si="14"/>
        <v/>
      </c>
      <c r="AS11" s="208" t="str">
        <f t="shared" si="25"/>
        <v/>
      </c>
      <c r="AV11" s="208" t="b">
        <f t="shared" si="26"/>
        <v>0</v>
      </c>
      <c r="AW11" s="208" t="b">
        <f t="shared" si="27"/>
        <v>0</v>
      </c>
      <c r="BA11" s="208" t="b">
        <f t="shared" si="28"/>
        <v>0</v>
      </c>
      <c r="BB11" s="208" t="b">
        <f t="shared" si="15"/>
        <v>0</v>
      </c>
      <c r="BC11" s="209" t="b">
        <f t="shared" si="29"/>
        <v>0</v>
      </c>
      <c r="BD11" s="208">
        <f t="shared" si="30"/>
        <v>0</v>
      </c>
      <c r="BF11" s="208" t="b">
        <f t="shared" si="31"/>
        <v>0</v>
      </c>
      <c r="BH11" s="209" t="b">
        <f t="shared" si="32"/>
        <v>0</v>
      </c>
      <c r="BI11" s="209" t="b">
        <f t="shared" si="33"/>
        <v>0</v>
      </c>
      <c r="BK11" s="208" t="b">
        <f t="shared" si="16"/>
        <v>0</v>
      </c>
      <c r="BL11" s="208" t="b">
        <f t="shared" si="34"/>
        <v>0</v>
      </c>
      <c r="BM11" s="208" t="b">
        <f t="shared" si="35"/>
        <v>0</v>
      </c>
      <c r="BN11" s="208" t="b">
        <f t="shared" si="17"/>
        <v>0</v>
      </c>
      <c r="BO11" s="208" t="str">
        <f t="shared" si="36"/>
        <v/>
      </c>
    </row>
    <row r="12" spans="1:67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8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1"/>
        <v/>
      </c>
      <c r="X12" s="208" t="str">
        <f t="shared" si="6"/>
        <v/>
      </c>
      <c r="Y12" s="208" t="str">
        <f t="shared" si="22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4"/>
        <v/>
      </c>
      <c r="AR12" s="208" t="str">
        <f t="shared" si="14"/>
        <v/>
      </c>
      <c r="AS12" s="208" t="str">
        <f t="shared" si="25"/>
        <v/>
      </c>
      <c r="AV12" s="208" t="b">
        <f t="shared" si="26"/>
        <v>0</v>
      </c>
      <c r="AW12" s="208" t="b">
        <f t="shared" si="27"/>
        <v>0</v>
      </c>
      <c r="BA12" s="208" t="b">
        <f t="shared" si="28"/>
        <v>0</v>
      </c>
      <c r="BB12" s="208" t="b">
        <f t="shared" si="15"/>
        <v>0</v>
      </c>
      <c r="BC12" s="209" t="b">
        <f t="shared" si="29"/>
        <v>0</v>
      </c>
      <c r="BD12" s="208">
        <f t="shared" si="30"/>
        <v>0</v>
      </c>
      <c r="BF12" s="208" t="b">
        <f t="shared" si="31"/>
        <v>0</v>
      </c>
      <c r="BH12" s="209" t="b">
        <f t="shared" si="32"/>
        <v>0</v>
      </c>
      <c r="BI12" s="209" t="b">
        <f t="shared" si="33"/>
        <v>0</v>
      </c>
      <c r="BK12" s="208" t="b">
        <f t="shared" si="16"/>
        <v>0</v>
      </c>
      <c r="BL12" s="208" t="b">
        <f t="shared" si="34"/>
        <v>0</v>
      </c>
      <c r="BM12" s="208" t="b">
        <f t="shared" si="35"/>
        <v>0</v>
      </c>
      <c r="BN12" s="208" t="b">
        <f t="shared" si="17"/>
        <v>0</v>
      </c>
      <c r="BO12" s="208" t="str">
        <f t="shared" si="36"/>
        <v/>
      </c>
    </row>
    <row r="13" spans="1:67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8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1"/>
        <v/>
      </c>
      <c r="X13" s="208" t="str">
        <f t="shared" si="6"/>
        <v/>
      </c>
      <c r="Y13" s="208" t="str">
        <f t="shared" si="22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4"/>
        <v/>
      </c>
      <c r="AR13" s="208" t="str">
        <f t="shared" si="14"/>
        <v/>
      </c>
      <c r="AS13" s="208" t="str">
        <f t="shared" si="25"/>
        <v/>
      </c>
      <c r="AV13" s="208" t="b">
        <f t="shared" si="26"/>
        <v>0</v>
      </c>
      <c r="AW13" s="208" t="b">
        <f t="shared" si="27"/>
        <v>0</v>
      </c>
      <c r="BA13" s="208" t="b">
        <f t="shared" si="28"/>
        <v>0</v>
      </c>
      <c r="BB13" s="208" t="b">
        <f t="shared" si="15"/>
        <v>0</v>
      </c>
      <c r="BC13" s="209" t="b">
        <f t="shared" si="29"/>
        <v>0</v>
      </c>
      <c r="BD13" s="208">
        <f t="shared" si="30"/>
        <v>0</v>
      </c>
      <c r="BF13" s="208" t="b">
        <f t="shared" si="31"/>
        <v>0</v>
      </c>
      <c r="BH13" s="209" t="b">
        <f t="shared" si="32"/>
        <v>0</v>
      </c>
      <c r="BI13" s="209" t="b">
        <f t="shared" si="33"/>
        <v>0</v>
      </c>
      <c r="BK13" s="208" t="b">
        <f t="shared" si="16"/>
        <v>0</v>
      </c>
      <c r="BL13" s="208" t="b">
        <f t="shared" si="34"/>
        <v>0</v>
      </c>
      <c r="BM13" s="208" t="b">
        <f t="shared" si="35"/>
        <v>0</v>
      </c>
      <c r="BN13" s="208" t="b">
        <f t="shared" si="17"/>
        <v>0</v>
      </c>
      <c r="BO13" s="208" t="str">
        <f t="shared" si="36"/>
        <v/>
      </c>
    </row>
    <row r="14" spans="1:67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8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1"/>
        <v/>
      </c>
      <c r="X14" s="208" t="str">
        <f t="shared" si="6"/>
        <v/>
      </c>
      <c r="Y14" s="208" t="str">
        <f t="shared" si="22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4"/>
        <v/>
      </c>
      <c r="AR14" s="208" t="str">
        <f t="shared" si="14"/>
        <v/>
      </c>
      <c r="AS14" s="208" t="str">
        <f t="shared" si="25"/>
        <v/>
      </c>
      <c r="AV14" s="208" t="b">
        <f t="shared" si="26"/>
        <v>0</v>
      </c>
      <c r="AW14" s="208" t="b">
        <f t="shared" si="27"/>
        <v>0</v>
      </c>
      <c r="BA14" s="208" t="b">
        <f t="shared" si="28"/>
        <v>0</v>
      </c>
      <c r="BB14" s="208" t="b">
        <f t="shared" si="15"/>
        <v>0</v>
      </c>
      <c r="BC14" s="209" t="b">
        <f t="shared" si="29"/>
        <v>0</v>
      </c>
      <c r="BD14" s="208">
        <f t="shared" si="30"/>
        <v>0</v>
      </c>
      <c r="BF14" s="208" t="b">
        <f t="shared" si="31"/>
        <v>0</v>
      </c>
      <c r="BH14" s="209" t="b">
        <f t="shared" si="32"/>
        <v>0</v>
      </c>
      <c r="BI14" s="209" t="b">
        <f t="shared" si="33"/>
        <v>0</v>
      </c>
      <c r="BK14" s="208" t="b">
        <f t="shared" si="16"/>
        <v>0</v>
      </c>
      <c r="BL14" s="208" t="b">
        <f t="shared" si="34"/>
        <v>0</v>
      </c>
      <c r="BM14" s="208" t="b">
        <f t="shared" si="35"/>
        <v>0</v>
      </c>
      <c r="BN14" s="208" t="b">
        <f t="shared" si="17"/>
        <v>0</v>
      </c>
      <c r="BO14" s="208" t="str">
        <f t="shared" si="36"/>
        <v/>
      </c>
    </row>
    <row r="15" spans="1:67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8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1"/>
        <v/>
      </c>
      <c r="X15" s="208" t="str">
        <f t="shared" si="6"/>
        <v/>
      </c>
      <c r="Y15" s="208" t="str">
        <f t="shared" si="22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4"/>
        <v/>
      </c>
      <c r="AR15" s="208" t="str">
        <f t="shared" si="14"/>
        <v/>
      </c>
      <c r="AS15" s="208" t="str">
        <f t="shared" si="25"/>
        <v/>
      </c>
      <c r="AV15" s="208" t="b">
        <f t="shared" si="26"/>
        <v>0</v>
      </c>
      <c r="AW15" s="208" t="b">
        <f t="shared" si="27"/>
        <v>0</v>
      </c>
      <c r="BA15" s="208" t="b">
        <f t="shared" si="28"/>
        <v>0</v>
      </c>
      <c r="BB15" s="208" t="b">
        <f t="shared" si="15"/>
        <v>0</v>
      </c>
      <c r="BC15" s="209" t="b">
        <f t="shared" si="29"/>
        <v>0</v>
      </c>
      <c r="BD15" s="208">
        <f t="shared" si="30"/>
        <v>0</v>
      </c>
      <c r="BF15" s="208" t="b">
        <f t="shared" si="31"/>
        <v>0</v>
      </c>
      <c r="BH15" s="209" t="b">
        <f t="shared" si="32"/>
        <v>0</v>
      </c>
      <c r="BI15" s="209" t="b">
        <f t="shared" si="33"/>
        <v>0</v>
      </c>
      <c r="BK15" s="208" t="b">
        <f t="shared" si="16"/>
        <v>0</v>
      </c>
      <c r="BL15" s="208" t="b">
        <f t="shared" si="34"/>
        <v>0</v>
      </c>
      <c r="BM15" s="208" t="b">
        <f t="shared" si="35"/>
        <v>0</v>
      </c>
      <c r="BN15" s="208" t="b">
        <f t="shared" si="17"/>
        <v>0</v>
      </c>
      <c r="BO15" s="208" t="str">
        <f t="shared" si="36"/>
        <v/>
      </c>
    </row>
    <row r="16" spans="1:67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8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1"/>
        <v/>
      </c>
      <c r="X16" s="208" t="str">
        <f t="shared" si="6"/>
        <v/>
      </c>
      <c r="Y16" s="208" t="str">
        <f t="shared" si="22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4"/>
        <v/>
      </c>
      <c r="AR16" s="208" t="str">
        <f t="shared" si="14"/>
        <v/>
      </c>
      <c r="AS16" s="208" t="str">
        <f t="shared" si="25"/>
        <v/>
      </c>
      <c r="AV16" s="208" t="b">
        <f t="shared" si="26"/>
        <v>0</v>
      </c>
      <c r="AW16" s="208" t="b">
        <f t="shared" si="27"/>
        <v>0</v>
      </c>
      <c r="BA16" s="208" t="b">
        <f t="shared" si="28"/>
        <v>0</v>
      </c>
      <c r="BB16" s="208" t="b">
        <f t="shared" si="15"/>
        <v>0</v>
      </c>
      <c r="BC16" s="209" t="b">
        <f t="shared" si="29"/>
        <v>0</v>
      </c>
      <c r="BD16" s="208">
        <f t="shared" si="30"/>
        <v>0</v>
      </c>
      <c r="BF16" s="208" t="b">
        <f t="shared" si="31"/>
        <v>0</v>
      </c>
      <c r="BH16" s="209" t="b">
        <f t="shared" si="32"/>
        <v>0</v>
      </c>
      <c r="BI16" s="209" t="b">
        <f t="shared" si="33"/>
        <v>0</v>
      </c>
      <c r="BK16" s="208" t="b">
        <f t="shared" si="16"/>
        <v>0</v>
      </c>
      <c r="BL16" s="208" t="b">
        <f t="shared" si="34"/>
        <v>0</v>
      </c>
      <c r="BM16" s="208" t="b">
        <f t="shared" si="35"/>
        <v>0</v>
      </c>
      <c r="BN16" s="208" t="b">
        <f t="shared" si="17"/>
        <v>0</v>
      </c>
      <c r="BO16" s="208" t="str">
        <f t="shared" si="36"/>
        <v/>
      </c>
    </row>
    <row r="17" spans="1:67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8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1"/>
        <v/>
      </c>
      <c r="X17" s="208" t="str">
        <f t="shared" si="6"/>
        <v/>
      </c>
      <c r="Y17" s="208" t="str">
        <f t="shared" si="22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4"/>
        <v/>
      </c>
      <c r="AR17" s="208" t="str">
        <f t="shared" si="14"/>
        <v/>
      </c>
      <c r="AS17" s="208" t="str">
        <f t="shared" si="25"/>
        <v/>
      </c>
      <c r="AV17" s="208" t="b">
        <f t="shared" si="26"/>
        <v>0</v>
      </c>
      <c r="AW17" s="208" t="b">
        <f t="shared" si="27"/>
        <v>0</v>
      </c>
      <c r="BA17" s="208" t="b">
        <f t="shared" si="28"/>
        <v>0</v>
      </c>
      <c r="BB17" s="208" t="b">
        <f t="shared" si="15"/>
        <v>0</v>
      </c>
      <c r="BC17" s="209" t="b">
        <f t="shared" si="29"/>
        <v>0</v>
      </c>
      <c r="BD17" s="208">
        <f t="shared" si="30"/>
        <v>0</v>
      </c>
      <c r="BF17" s="208" t="b">
        <f t="shared" si="31"/>
        <v>0</v>
      </c>
      <c r="BH17" s="209" t="b">
        <f t="shared" si="32"/>
        <v>0</v>
      </c>
      <c r="BI17" s="209" t="b">
        <f t="shared" si="33"/>
        <v>0</v>
      </c>
      <c r="BK17" s="208" t="b">
        <f t="shared" si="16"/>
        <v>0</v>
      </c>
      <c r="BL17" s="208" t="b">
        <f t="shared" si="34"/>
        <v>0</v>
      </c>
      <c r="BM17" s="208" t="b">
        <f t="shared" si="35"/>
        <v>0</v>
      </c>
      <c r="BN17" s="208" t="b">
        <f t="shared" si="17"/>
        <v>0</v>
      </c>
      <c r="BO17" s="208" t="str">
        <f t="shared" si="36"/>
        <v/>
      </c>
    </row>
    <row r="18" spans="1:67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8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1"/>
        <v/>
      </c>
      <c r="X18" s="208" t="str">
        <f t="shared" si="6"/>
        <v/>
      </c>
      <c r="Y18" s="208" t="str">
        <f t="shared" si="22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4"/>
        <v/>
      </c>
      <c r="AR18" s="208" t="str">
        <f t="shared" si="14"/>
        <v/>
      </c>
      <c r="AS18" s="208" t="str">
        <f t="shared" si="25"/>
        <v/>
      </c>
      <c r="AV18" s="208" t="b">
        <f t="shared" si="26"/>
        <v>0</v>
      </c>
      <c r="AW18" s="208" t="b">
        <f t="shared" si="27"/>
        <v>0</v>
      </c>
      <c r="BA18" s="208" t="b">
        <f t="shared" si="28"/>
        <v>0</v>
      </c>
      <c r="BB18" s="208" t="b">
        <f t="shared" si="15"/>
        <v>0</v>
      </c>
      <c r="BC18" s="209" t="b">
        <f t="shared" si="29"/>
        <v>0</v>
      </c>
      <c r="BD18" s="208">
        <f t="shared" si="30"/>
        <v>0</v>
      </c>
      <c r="BF18" s="208" t="b">
        <f t="shared" si="31"/>
        <v>0</v>
      </c>
      <c r="BH18" s="209" t="b">
        <f t="shared" si="32"/>
        <v>0</v>
      </c>
      <c r="BI18" s="209" t="b">
        <f t="shared" si="33"/>
        <v>0</v>
      </c>
      <c r="BK18" s="208" t="b">
        <f t="shared" si="16"/>
        <v>0</v>
      </c>
      <c r="BL18" s="208" t="b">
        <f t="shared" si="34"/>
        <v>0</v>
      </c>
      <c r="BM18" s="208" t="b">
        <f t="shared" si="35"/>
        <v>0</v>
      </c>
      <c r="BN18" s="208" t="b">
        <f t="shared" si="17"/>
        <v>0</v>
      </c>
      <c r="BO18" s="208" t="str">
        <f t="shared" si="36"/>
        <v/>
      </c>
    </row>
    <row r="19" spans="1:67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8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1"/>
        <v/>
      </c>
      <c r="X19" s="208" t="str">
        <f t="shared" si="6"/>
        <v/>
      </c>
      <c r="Y19" s="208" t="str">
        <f t="shared" si="22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4"/>
        <v/>
      </c>
      <c r="AR19" s="208" t="str">
        <f t="shared" si="14"/>
        <v/>
      </c>
      <c r="AS19" s="208" t="str">
        <f t="shared" si="25"/>
        <v/>
      </c>
      <c r="AV19" s="208" t="b">
        <f t="shared" si="26"/>
        <v>0</v>
      </c>
      <c r="AW19" s="208" t="b">
        <f t="shared" si="27"/>
        <v>0</v>
      </c>
      <c r="BA19" s="208" t="b">
        <f t="shared" si="28"/>
        <v>0</v>
      </c>
      <c r="BB19" s="208" t="b">
        <f t="shared" si="15"/>
        <v>0</v>
      </c>
      <c r="BC19" s="209" t="b">
        <f t="shared" si="29"/>
        <v>0</v>
      </c>
      <c r="BD19" s="208">
        <f t="shared" si="30"/>
        <v>0</v>
      </c>
      <c r="BF19" s="208" t="b">
        <f t="shared" si="31"/>
        <v>0</v>
      </c>
      <c r="BH19" s="209" t="b">
        <f t="shared" si="32"/>
        <v>0</v>
      </c>
      <c r="BI19" s="209" t="b">
        <f t="shared" si="33"/>
        <v>0</v>
      </c>
      <c r="BK19" s="208" t="b">
        <f t="shared" si="16"/>
        <v>0</v>
      </c>
      <c r="BL19" s="208" t="b">
        <f t="shared" si="34"/>
        <v>0</v>
      </c>
      <c r="BM19" s="208" t="b">
        <f t="shared" si="35"/>
        <v>0</v>
      </c>
      <c r="BN19" s="208" t="b">
        <f t="shared" si="17"/>
        <v>0</v>
      </c>
      <c r="BO19" s="208" t="str">
        <f t="shared" si="36"/>
        <v/>
      </c>
    </row>
    <row r="20" spans="1:67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8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1"/>
        <v/>
      </c>
      <c r="X20" s="208" t="str">
        <f t="shared" si="6"/>
        <v/>
      </c>
      <c r="Y20" s="208" t="str">
        <f t="shared" si="22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4"/>
        <v/>
      </c>
      <c r="AR20" s="208" t="str">
        <f t="shared" si="14"/>
        <v/>
      </c>
      <c r="AS20" s="208" t="str">
        <f t="shared" si="25"/>
        <v/>
      </c>
      <c r="AV20" s="208" t="b">
        <f t="shared" si="26"/>
        <v>0</v>
      </c>
      <c r="AW20" s="208" t="b">
        <f t="shared" si="27"/>
        <v>0</v>
      </c>
      <c r="BA20" s="208" t="b">
        <f t="shared" si="28"/>
        <v>0</v>
      </c>
      <c r="BB20" s="208" t="b">
        <f t="shared" si="15"/>
        <v>0</v>
      </c>
      <c r="BC20" s="209" t="b">
        <f t="shared" si="29"/>
        <v>0</v>
      </c>
      <c r="BD20" s="208">
        <f t="shared" si="30"/>
        <v>0</v>
      </c>
      <c r="BF20" s="208" t="b">
        <f t="shared" si="31"/>
        <v>0</v>
      </c>
      <c r="BH20" s="209" t="b">
        <f t="shared" si="32"/>
        <v>0</v>
      </c>
      <c r="BI20" s="209" t="b">
        <f t="shared" si="33"/>
        <v>0</v>
      </c>
      <c r="BK20" s="208" t="b">
        <f t="shared" si="16"/>
        <v>0</v>
      </c>
      <c r="BL20" s="208" t="b">
        <f t="shared" si="34"/>
        <v>0</v>
      </c>
      <c r="BM20" s="208" t="b">
        <f t="shared" si="35"/>
        <v>0</v>
      </c>
      <c r="BN20" s="208" t="b">
        <f t="shared" si="17"/>
        <v>0</v>
      </c>
      <c r="BO20" s="208" t="str">
        <f t="shared" si="36"/>
        <v/>
      </c>
    </row>
    <row r="21" spans="1:67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8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1"/>
        <v/>
      </c>
      <c r="X21" s="208" t="str">
        <f t="shared" si="6"/>
        <v/>
      </c>
      <c r="Y21" s="208" t="str">
        <f t="shared" si="22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4"/>
        <v/>
      </c>
      <c r="AR21" s="208" t="str">
        <f t="shared" si="14"/>
        <v/>
      </c>
      <c r="AS21" s="208" t="str">
        <f t="shared" si="25"/>
        <v/>
      </c>
      <c r="AV21" s="208" t="b">
        <f t="shared" si="26"/>
        <v>0</v>
      </c>
      <c r="AW21" s="208" t="b">
        <f t="shared" si="27"/>
        <v>0</v>
      </c>
      <c r="BA21" s="208" t="b">
        <f t="shared" si="28"/>
        <v>0</v>
      </c>
      <c r="BB21" s="208" t="b">
        <f t="shared" si="15"/>
        <v>0</v>
      </c>
      <c r="BC21" s="209" t="b">
        <f t="shared" si="29"/>
        <v>0</v>
      </c>
      <c r="BD21" s="208">
        <f t="shared" si="30"/>
        <v>0</v>
      </c>
      <c r="BF21" s="208" t="b">
        <f t="shared" si="31"/>
        <v>0</v>
      </c>
      <c r="BH21" s="209" t="b">
        <f t="shared" si="32"/>
        <v>0</v>
      </c>
      <c r="BI21" s="209" t="b">
        <f t="shared" si="33"/>
        <v>0</v>
      </c>
      <c r="BK21" s="208" t="b">
        <f t="shared" si="16"/>
        <v>0</v>
      </c>
      <c r="BL21" s="208" t="b">
        <f t="shared" si="34"/>
        <v>0</v>
      </c>
      <c r="BM21" s="208" t="b">
        <f t="shared" si="35"/>
        <v>0</v>
      </c>
      <c r="BN21" s="208" t="b">
        <f t="shared" si="17"/>
        <v>0</v>
      </c>
      <c r="BO21" s="208" t="str">
        <f t="shared" si="36"/>
        <v/>
      </c>
    </row>
    <row r="22" spans="1:67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7">E22*G22</f>
        <v>0</v>
      </c>
      <c r="I22" s="208">
        <v>1</v>
      </c>
      <c r="J22" s="208">
        <f t="shared" si="1"/>
        <v>0</v>
      </c>
      <c r="K22" s="208">
        <f t="shared" ref="K22:K31" si="38">J22*H22</f>
        <v>0</v>
      </c>
      <c r="L22" s="208"/>
      <c r="M22" s="7">
        <f t="shared" si="18"/>
        <v>0</v>
      </c>
      <c r="N22" s="7">
        <f t="shared" si="19"/>
        <v>0</v>
      </c>
      <c r="O22" s="208">
        <v>0</v>
      </c>
      <c r="P22" s="208">
        <v>1</v>
      </c>
      <c r="Q22" s="208">
        <f t="shared" ref="Q22:Q31" si="39">IF(P22&gt;1,O22*J22,0)</f>
        <v>0</v>
      </c>
      <c r="R22" s="208">
        <v>0</v>
      </c>
      <c r="S22" s="208">
        <f t="shared" ref="S22:S31" si="40">IF(P22=2,Q22*0.155,0)</f>
        <v>0</v>
      </c>
      <c r="T22" s="208">
        <f t="shared" ref="T22:T31" si="41">IF(P22=3,Q22*0.05,0)</f>
        <v>0</v>
      </c>
      <c r="U22" s="208">
        <f t="shared" ref="U22:U31" si="42">IF(P22=4,Q22*0.1,0)</f>
        <v>0</v>
      </c>
      <c r="V22" s="208"/>
      <c r="W22" s="208" t="str">
        <f t="shared" si="21"/>
        <v/>
      </c>
      <c r="X22" s="208" t="str">
        <f t="shared" si="6"/>
        <v/>
      </c>
      <c r="Y22" s="208" t="str">
        <f t="shared" si="22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3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4"/>
        <v/>
      </c>
      <c r="AR22" s="208" t="str">
        <f t="shared" si="14"/>
        <v/>
      </c>
      <c r="AS22" s="208" t="str">
        <f t="shared" si="25"/>
        <v/>
      </c>
      <c r="AV22" s="208" t="b">
        <f t="shared" si="26"/>
        <v>0</v>
      </c>
      <c r="AW22" s="208" t="b">
        <f t="shared" si="27"/>
        <v>0</v>
      </c>
      <c r="BA22" s="208" t="b">
        <f t="shared" si="28"/>
        <v>0</v>
      </c>
      <c r="BB22" s="208" t="b">
        <f t="shared" si="15"/>
        <v>0</v>
      </c>
      <c r="BC22" s="209" t="b">
        <f t="shared" si="29"/>
        <v>0</v>
      </c>
      <c r="BD22" s="208">
        <f t="shared" si="30"/>
        <v>0</v>
      </c>
      <c r="BF22" s="208" t="b">
        <f t="shared" si="31"/>
        <v>0</v>
      </c>
      <c r="BH22" s="209" t="b">
        <f t="shared" si="32"/>
        <v>0</v>
      </c>
      <c r="BI22" s="209" t="b">
        <f t="shared" si="33"/>
        <v>0</v>
      </c>
      <c r="BK22" s="208" t="b">
        <f t="shared" si="16"/>
        <v>0</v>
      </c>
      <c r="BL22" s="208" t="b">
        <f t="shared" si="34"/>
        <v>0</v>
      </c>
      <c r="BM22" s="208" t="b">
        <f t="shared" si="35"/>
        <v>0</v>
      </c>
      <c r="BN22" s="208" t="b">
        <f t="shared" si="17"/>
        <v>0</v>
      </c>
      <c r="BO22" s="208" t="str">
        <f t="shared" si="36"/>
        <v/>
      </c>
    </row>
    <row r="23" spans="1:67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7"/>
        <v>0</v>
      </c>
      <c r="I23" s="208">
        <v>1</v>
      </c>
      <c r="J23" s="208">
        <f t="shared" si="1"/>
        <v>0</v>
      </c>
      <c r="K23" s="208">
        <f t="shared" si="38"/>
        <v>0</v>
      </c>
      <c r="L23" s="208"/>
      <c r="M23" s="7">
        <f t="shared" si="18"/>
        <v>0</v>
      </c>
      <c r="N23" s="7">
        <f t="shared" si="19"/>
        <v>0</v>
      </c>
      <c r="O23" s="208">
        <v>0</v>
      </c>
      <c r="P23" s="208">
        <v>1</v>
      </c>
      <c r="Q23" s="208">
        <f t="shared" si="39"/>
        <v>0</v>
      </c>
      <c r="R23" s="208">
        <v>0</v>
      </c>
      <c r="S23" s="208">
        <f t="shared" si="40"/>
        <v>0</v>
      </c>
      <c r="T23" s="208">
        <f t="shared" si="41"/>
        <v>0</v>
      </c>
      <c r="U23" s="208">
        <f t="shared" si="42"/>
        <v>0</v>
      </c>
      <c r="V23" s="208"/>
      <c r="W23" s="208" t="str">
        <f t="shared" si="21"/>
        <v/>
      </c>
      <c r="X23" s="208" t="str">
        <f t="shared" si="6"/>
        <v/>
      </c>
      <c r="Y23" s="208" t="str">
        <f t="shared" si="22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3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4"/>
        <v/>
      </c>
      <c r="AR23" s="208" t="str">
        <f t="shared" si="14"/>
        <v/>
      </c>
      <c r="AS23" s="208" t="str">
        <f t="shared" si="25"/>
        <v/>
      </c>
      <c r="AV23" s="208" t="b">
        <f t="shared" si="26"/>
        <v>0</v>
      </c>
      <c r="AW23" s="208" t="b">
        <f t="shared" si="27"/>
        <v>0</v>
      </c>
      <c r="BA23" s="208" t="b">
        <f t="shared" si="28"/>
        <v>0</v>
      </c>
      <c r="BB23" s="208" t="b">
        <f t="shared" si="15"/>
        <v>0</v>
      </c>
      <c r="BC23" s="209" t="b">
        <f t="shared" si="29"/>
        <v>0</v>
      </c>
      <c r="BD23" s="208">
        <f t="shared" si="30"/>
        <v>0</v>
      </c>
      <c r="BF23" s="208" t="b">
        <f t="shared" si="31"/>
        <v>0</v>
      </c>
      <c r="BH23" s="209" t="b">
        <f t="shared" si="32"/>
        <v>0</v>
      </c>
      <c r="BI23" s="209" t="b">
        <f t="shared" si="33"/>
        <v>0</v>
      </c>
      <c r="BK23" s="208" t="b">
        <f t="shared" si="16"/>
        <v>0</v>
      </c>
      <c r="BL23" s="208" t="b">
        <f t="shared" si="34"/>
        <v>0</v>
      </c>
      <c r="BM23" s="208" t="b">
        <f t="shared" si="35"/>
        <v>0</v>
      </c>
      <c r="BN23" s="208" t="b">
        <f t="shared" si="17"/>
        <v>0</v>
      </c>
      <c r="BO23" s="208" t="str">
        <f t="shared" si="36"/>
        <v/>
      </c>
    </row>
    <row r="24" spans="1:67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7"/>
        <v>0</v>
      </c>
      <c r="I24" s="208">
        <v>1</v>
      </c>
      <c r="J24" s="208">
        <f t="shared" si="1"/>
        <v>0</v>
      </c>
      <c r="K24" s="208">
        <f t="shared" si="38"/>
        <v>0</v>
      </c>
      <c r="L24" s="208"/>
      <c r="M24" s="7">
        <f t="shared" si="18"/>
        <v>0</v>
      </c>
      <c r="N24" s="7">
        <f t="shared" si="19"/>
        <v>0</v>
      </c>
      <c r="O24" s="208">
        <v>0</v>
      </c>
      <c r="P24" s="208">
        <v>1</v>
      </c>
      <c r="Q24" s="208">
        <f t="shared" si="39"/>
        <v>0</v>
      </c>
      <c r="R24" s="208">
        <v>0</v>
      </c>
      <c r="S24" s="208">
        <f t="shared" si="40"/>
        <v>0</v>
      </c>
      <c r="T24" s="208">
        <f t="shared" si="41"/>
        <v>0</v>
      </c>
      <c r="U24" s="208">
        <f t="shared" si="42"/>
        <v>0</v>
      </c>
      <c r="V24" s="208"/>
      <c r="W24" s="208" t="str">
        <f t="shared" si="21"/>
        <v/>
      </c>
      <c r="X24" s="208" t="str">
        <f t="shared" si="6"/>
        <v/>
      </c>
      <c r="Y24" s="208" t="str">
        <f t="shared" si="22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3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4"/>
        <v/>
      </c>
      <c r="AR24" s="208" t="str">
        <f t="shared" si="14"/>
        <v/>
      </c>
      <c r="AS24" s="208" t="str">
        <f t="shared" si="25"/>
        <v/>
      </c>
      <c r="AV24" s="208" t="b">
        <f t="shared" si="26"/>
        <v>0</v>
      </c>
      <c r="AW24" s="208" t="b">
        <f t="shared" si="27"/>
        <v>0</v>
      </c>
      <c r="BA24" s="208" t="b">
        <f t="shared" si="28"/>
        <v>0</v>
      </c>
      <c r="BB24" s="208" t="b">
        <f t="shared" si="15"/>
        <v>0</v>
      </c>
      <c r="BC24" s="209" t="b">
        <f t="shared" si="29"/>
        <v>0</v>
      </c>
      <c r="BD24" s="208">
        <f t="shared" si="30"/>
        <v>0</v>
      </c>
      <c r="BF24" s="208" t="b">
        <f t="shared" si="31"/>
        <v>0</v>
      </c>
      <c r="BH24" s="209" t="b">
        <f t="shared" si="32"/>
        <v>0</v>
      </c>
      <c r="BI24" s="209" t="b">
        <f t="shared" si="33"/>
        <v>0</v>
      </c>
      <c r="BK24" s="208" t="b">
        <f t="shared" si="16"/>
        <v>0</v>
      </c>
      <c r="BL24" s="208" t="b">
        <f t="shared" si="34"/>
        <v>0</v>
      </c>
      <c r="BM24" s="208" t="b">
        <f t="shared" si="35"/>
        <v>0</v>
      </c>
      <c r="BN24" s="208" t="b">
        <f t="shared" si="17"/>
        <v>0</v>
      </c>
      <c r="BO24" s="208" t="str">
        <f t="shared" si="36"/>
        <v/>
      </c>
    </row>
    <row r="25" spans="1:67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7"/>
        <v>0</v>
      </c>
      <c r="I25" s="208">
        <v>1</v>
      </c>
      <c r="J25" s="208">
        <f t="shared" si="1"/>
        <v>0</v>
      </c>
      <c r="K25" s="208">
        <f t="shared" si="38"/>
        <v>0</v>
      </c>
      <c r="L25" s="208"/>
      <c r="M25" s="7">
        <f t="shared" si="18"/>
        <v>0</v>
      </c>
      <c r="N25" s="7">
        <f t="shared" si="19"/>
        <v>0</v>
      </c>
      <c r="O25" s="208">
        <v>0</v>
      </c>
      <c r="P25" s="208">
        <v>1</v>
      </c>
      <c r="Q25" s="208">
        <f t="shared" si="39"/>
        <v>0</v>
      </c>
      <c r="R25" s="208">
        <v>0</v>
      </c>
      <c r="S25" s="208">
        <f t="shared" si="40"/>
        <v>0</v>
      </c>
      <c r="T25" s="208">
        <f t="shared" si="41"/>
        <v>0</v>
      </c>
      <c r="U25" s="208">
        <f t="shared" si="42"/>
        <v>0</v>
      </c>
      <c r="V25" s="208"/>
      <c r="W25" s="208" t="str">
        <f t="shared" si="21"/>
        <v/>
      </c>
      <c r="X25" s="208" t="str">
        <f t="shared" si="6"/>
        <v/>
      </c>
      <c r="Y25" s="208" t="str">
        <f t="shared" si="22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3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4"/>
        <v/>
      </c>
      <c r="AR25" s="208" t="str">
        <f t="shared" si="14"/>
        <v/>
      </c>
      <c r="AS25" s="208" t="str">
        <f t="shared" si="25"/>
        <v/>
      </c>
      <c r="AV25" s="208" t="b">
        <f t="shared" si="26"/>
        <v>0</v>
      </c>
      <c r="AW25" s="208" t="b">
        <f t="shared" si="27"/>
        <v>0</v>
      </c>
      <c r="BA25" s="208" t="b">
        <f t="shared" si="28"/>
        <v>0</v>
      </c>
      <c r="BB25" s="208" t="b">
        <f t="shared" si="15"/>
        <v>0</v>
      </c>
      <c r="BC25" s="209" t="b">
        <f t="shared" si="29"/>
        <v>0</v>
      </c>
      <c r="BD25" s="208">
        <f t="shared" si="30"/>
        <v>0</v>
      </c>
      <c r="BF25" s="208" t="b">
        <f t="shared" si="31"/>
        <v>0</v>
      </c>
      <c r="BH25" s="209" t="b">
        <f t="shared" si="32"/>
        <v>0</v>
      </c>
      <c r="BI25" s="209" t="b">
        <f t="shared" si="33"/>
        <v>0</v>
      </c>
      <c r="BK25" s="208" t="b">
        <f t="shared" si="16"/>
        <v>0</v>
      </c>
      <c r="BL25" s="208" t="b">
        <f t="shared" si="34"/>
        <v>0</v>
      </c>
      <c r="BM25" s="208" t="b">
        <f t="shared" si="35"/>
        <v>0</v>
      </c>
      <c r="BN25" s="208" t="b">
        <f t="shared" si="17"/>
        <v>0</v>
      </c>
      <c r="BO25" s="208" t="str">
        <f t="shared" si="36"/>
        <v/>
      </c>
    </row>
    <row r="26" spans="1:67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7"/>
        <v>0</v>
      </c>
      <c r="I26" s="208">
        <v>1</v>
      </c>
      <c r="J26" s="208">
        <f t="shared" si="1"/>
        <v>0</v>
      </c>
      <c r="K26" s="208">
        <f t="shared" si="38"/>
        <v>0</v>
      </c>
      <c r="L26" s="208"/>
      <c r="M26" s="7">
        <f t="shared" si="18"/>
        <v>0</v>
      </c>
      <c r="N26" s="7">
        <f t="shared" si="19"/>
        <v>0</v>
      </c>
      <c r="O26" s="208">
        <v>0</v>
      </c>
      <c r="P26" s="208">
        <v>1</v>
      </c>
      <c r="Q26" s="208">
        <f t="shared" si="39"/>
        <v>0</v>
      </c>
      <c r="R26" s="208">
        <v>0</v>
      </c>
      <c r="S26" s="208">
        <f t="shared" si="40"/>
        <v>0</v>
      </c>
      <c r="T26" s="208">
        <f t="shared" si="41"/>
        <v>0</v>
      </c>
      <c r="U26" s="208">
        <f t="shared" si="42"/>
        <v>0</v>
      </c>
      <c r="V26" s="208"/>
      <c r="W26" s="208" t="str">
        <f t="shared" si="21"/>
        <v/>
      </c>
      <c r="X26" s="208" t="str">
        <f t="shared" si="6"/>
        <v/>
      </c>
      <c r="Y26" s="208" t="str">
        <f t="shared" si="22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3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4"/>
        <v/>
      </c>
      <c r="AR26" s="208" t="str">
        <f t="shared" si="14"/>
        <v/>
      </c>
      <c r="AS26" s="208" t="str">
        <f t="shared" si="25"/>
        <v/>
      </c>
      <c r="AV26" s="208" t="b">
        <f t="shared" si="26"/>
        <v>0</v>
      </c>
      <c r="AW26" s="208" t="b">
        <f t="shared" si="27"/>
        <v>0</v>
      </c>
      <c r="BA26" s="208" t="b">
        <f t="shared" si="28"/>
        <v>0</v>
      </c>
      <c r="BB26" s="208" t="b">
        <f t="shared" si="15"/>
        <v>0</v>
      </c>
      <c r="BC26" s="209" t="b">
        <f t="shared" si="29"/>
        <v>0</v>
      </c>
      <c r="BD26" s="208">
        <f t="shared" si="30"/>
        <v>0</v>
      </c>
      <c r="BF26" s="208" t="b">
        <f t="shared" si="31"/>
        <v>0</v>
      </c>
      <c r="BH26" s="209" t="b">
        <f t="shared" si="32"/>
        <v>0</v>
      </c>
      <c r="BI26" s="209" t="b">
        <f t="shared" si="33"/>
        <v>0</v>
      </c>
      <c r="BK26" s="208" t="b">
        <f t="shared" si="16"/>
        <v>0</v>
      </c>
      <c r="BL26" s="208" t="b">
        <f t="shared" si="34"/>
        <v>0</v>
      </c>
      <c r="BM26" s="208" t="b">
        <f t="shared" si="35"/>
        <v>0</v>
      </c>
      <c r="BN26" s="208" t="b">
        <f t="shared" si="17"/>
        <v>0</v>
      </c>
      <c r="BO26" s="208" t="str">
        <f t="shared" si="36"/>
        <v/>
      </c>
    </row>
    <row r="27" spans="1:67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7"/>
        <v>0</v>
      </c>
      <c r="I27" s="208">
        <v>1</v>
      </c>
      <c r="J27" s="208">
        <f t="shared" si="1"/>
        <v>0</v>
      </c>
      <c r="K27" s="208">
        <f t="shared" si="38"/>
        <v>0</v>
      </c>
      <c r="L27" s="208"/>
      <c r="M27" s="7">
        <f t="shared" si="18"/>
        <v>0</v>
      </c>
      <c r="N27" s="7">
        <f t="shared" si="19"/>
        <v>0</v>
      </c>
      <c r="O27" s="208">
        <v>0</v>
      </c>
      <c r="P27" s="208">
        <v>1</v>
      </c>
      <c r="Q27" s="208">
        <f t="shared" si="39"/>
        <v>0</v>
      </c>
      <c r="R27" s="208">
        <v>0</v>
      </c>
      <c r="S27" s="208">
        <f t="shared" si="40"/>
        <v>0</v>
      </c>
      <c r="T27" s="208">
        <f t="shared" si="41"/>
        <v>0</v>
      </c>
      <c r="U27" s="208">
        <f t="shared" si="42"/>
        <v>0</v>
      </c>
      <c r="V27" s="208"/>
      <c r="W27" s="208" t="str">
        <f t="shared" si="21"/>
        <v/>
      </c>
      <c r="X27" s="208" t="str">
        <f t="shared" si="6"/>
        <v/>
      </c>
      <c r="Y27" s="208" t="str">
        <f t="shared" si="22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3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4"/>
        <v/>
      </c>
      <c r="AR27" s="208" t="str">
        <f t="shared" si="14"/>
        <v/>
      </c>
      <c r="AS27" s="208" t="str">
        <f t="shared" si="25"/>
        <v/>
      </c>
      <c r="AV27" s="208" t="b">
        <f t="shared" si="26"/>
        <v>0</v>
      </c>
      <c r="AW27" s="208" t="b">
        <f t="shared" si="27"/>
        <v>0</v>
      </c>
      <c r="BA27" s="208" t="b">
        <f t="shared" si="28"/>
        <v>0</v>
      </c>
      <c r="BB27" s="208" t="b">
        <f t="shared" si="15"/>
        <v>0</v>
      </c>
      <c r="BC27" s="209" t="b">
        <f t="shared" si="29"/>
        <v>0</v>
      </c>
      <c r="BD27" s="208">
        <f t="shared" si="30"/>
        <v>0</v>
      </c>
      <c r="BF27" s="208" t="b">
        <f t="shared" si="31"/>
        <v>0</v>
      </c>
      <c r="BH27" s="209" t="b">
        <f t="shared" si="32"/>
        <v>0</v>
      </c>
      <c r="BI27" s="209" t="b">
        <f t="shared" si="33"/>
        <v>0</v>
      </c>
      <c r="BK27" s="208" t="b">
        <f t="shared" si="16"/>
        <v>0</v>
      </c>
      <c r="BL27" s="208" t="b">
        <f t="shared" si="34"/>
        <v>0</v>
      </c>
      <c r="BM27" s="208" t="b">
        <f t="shared" si="35"/>
        <v>0</v>
      </c>
      <c r="BN27" s="208" t="b">
        <f t="shared" si="17"/>
        <v>0</v>
      </c>
      <c r="BO27" s="208" t="str">
        <f t="shared" si="36"/>
        <v/>
      </c>
    </row>
    <row r="28" spans="1:67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7"/>
        <v>0</v>
      </c>
      <c r="I28" s="208">
        <v>1</v>
      </c>
      <c r="J28" s="208">
        <f t="shared" si="1"/>
        <v>0</v>
      </c>
      <c r="K28" s="208">
        <f t="shared" si="38"/>
        <v>0</v>
      </c>
      <c r="L28" s="208"/>
      <c r="M28" s="7">
        <f t="shared" si="18"/>
        <v>0</v>
      </c>
      <c r="N28" s="7">
        <f t="shared" si="19"/>
        <v>0</v>
      </c>
      <c r="O28" s="208">
        <v>0</v>
      </c>
      <c r="P28" s="208">
        <v>1</v>
      </c>
      <c r="Q28" s="208">
        <f t="shared" si="39"/>
        <v>0</v>
      </c>
      <c r="R28" s="208">
        <v>0</v>
      </c>
      <c r="S28" s="208">
        <f t="shared" si="40"/>
        <v>0</v>
      </c>
      <c r="T28" s="208">
        <f t="shared" si="41"/>
        <v>0</v>
      </c>
      <c r="U28" s="208">
        <f t="shared" si="42"/>
        <v>0</v>
      </c>
      <c r="V28" s="208"/>
      <c r="W28" s="208" t="str">
        <f t="shared" si="21"/>
        <v/>
      </c>
      <c r="X28" s="208" t="str">
        <f t="shared" si="6"/>
        <v/>
      </c>
      <c r="Y28" s="208" t="str">
        <f t="shared" si="22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3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4"/>
        <v/>
      </c>
      <c r="AR28" s="208" t="str">
        <f t="shared" si="14"/>
        <v/>
      </c>
      <c r="AS28" s="208" t="str">
        <f t="shared" si="25"/>
        <v/>
      </c>
      <c r="AV28" s="208" t="b">
        <f t="shared" si="26"/>
        <v>0</v>
      </c>
      <c r="AW28" s="208" t="b">
        <f t="shared" si="27"/>
        <v>0</v>
      </c>
      <c r="BA28" s="208" t="b">
        <f t="shared" si="28"/>
        <v>0</v>
      </c>
      <c r="BB28" s="208" t="b">
        <f t="shared" si="15"/>
        <v>0</v>
      </c>
      <c r="BC28" s="209" t="b">
        <f t="shared" si="29"/>
        <v>0</v>
      </c>
      <c r="BD28" s="208">
        <f t="shared" si="30"/>
        <v>0</v>
      </c>
      <c r="BF28" s="208" t="b">
        <f t="shared" si="31"/>
        <v>0</v>
      </c>
      <c r="BH28" s="209" t="b">
        <f t="shared" si="32"/>
        <v>0</v>
      </c>
      <c r="BI28" s="209" t="b">
        <f t="shared" si="33"/>
        <v>0</v>
      </c>
      <c r="BK28" s="208" t="b">
        <f t="shared" si="16"/>
        <v>0</v>
      </c>
      <c r="BL28" s="208" t="b">
        <f t="shared" si="34"/>
        <v>0</v>
      </c>
      <c r="BM28" s="208" t="b">
        <f t="shared" si="35"/>
        <v>0</v>
      </c>
      <c r="BN28" s="208" t="b">
        <f t="shared" si="17"/>
        <v>0</v>
      </c>
      <c r="BO28" s="208" t="str">
        <f t="shared" si="36"/>
        <v/>
      </c>
    </row>
    <row r="29" spans="1:67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7"/>
        <v>0</v>
      </c>
      <c r="I29" s="208">
        <v>1</v>
      </c>
      <c r="J29" s="208">
        <f t="shared" si="1"/>
        <v>0</v>
      </c>
      <c r="K29" s="208">
        <f t="shared" si="38"/>
        <v>0</v>
      </c>
      <c r="L29" s="208"/>
      <c r="M29" s="7">
        <f t="shared" si="18"/>
        <v>0</v>
      </c>
      <c r="N29" s="7">
        <f t="shared" si="19"/>
        <v>0</v>
      </c>
      <c r="O29" s="208">
        <v>0</v>
      </c>
      <c r="P29" s="208">
        <v>1</v>
      </c>
      <c r="Q29" s="208">
        <f t="shared" si="39"/>
        <v>0</v>
      </c>
      <c r="R29" s="208">
        <v>0</v>
      </c>
      <c r="S29" s="208">
        <f t="shared" si="40"/>
        <v>0</v>
      </c>
      <c r="T29" s="208">
        <f t="shared" si="41"/>
        <v>0</v>
      </c>
      <c r="U29" s="208">
        <f t="shared" si="42"/>
        <v>0</v>
      </c>
      <c r="V29" s="208"/>
      <c r="W29" s="208" t="str">
        <f t="shared" si="21"/>
        <v/>
      </c>
      <c r="X29" s="208" t="str">
        <f t="shared" si="6"/>
        <v/>
      </c>
      <c r="Y29" s="208" t="str">
        <f t="shared" si="22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3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4"/>
        <v/>
      </c>
      <c r="AR29" s="208" t="str">
        <f t="shared" si="14"/>
        <v/>
      </c>
      <c r="AS29" s="208" t="str">
        <f t="shared" si="25"/>
        <v/>
      </c>
      <c r="AV29" s="208" t="b">
        <f t="shared" si="26"/>
        <v>0</v>
      </c>
      <c r="AW29" s="208" t="b">
        <f t="shared" si="27"/>
        <v>0</v>
      </c>
      <c r="BA29" s="208" t="b">
        <f t="shared" si="28"/>
        <v>0</v>
      </c>
      <c r="BB29" s="208" t="b">
        <f t="shared" si="15"/>
        <v>0</v>
      </c>
      <c r="BC29" s="209" t="b">
        <f t="shared" si="29"/>
        <v>0</v>
      </c>
      <c r="BD29" s="208">
        <f t="shared" si="30"/>
        <v>0</v>
      </c>
      <c r="BF29" s="208" t="b">
        <f t="shared" si="31"/>
        <v>0</v>
      </c>
      <c r="BH29" s="209" t="b">
        <f t="shared" si="32"/>
        <v>0</v>
      </c>
      <c r="BI29" s="209" t="b">
        <f t="shared" si="33"/>
        <v>0</v>
      </c>
      <c r="BK29" s="208" t="b">
        <f t="shared" si="16"/>
        <v>0</v>
      </c>
      <c r="BL29" s="208" t="b">
        <f t="shared" si="34"/>
        <v>0</v>
      </c>
      <c r="BM29" s="208" t="b">
        <f t="shared" si="35"/>
        <v>0</v>
      </c>
      <c r="BN29" s="208" t="b">
        <f t="shared" si="17"/>
        <v>0</v>
      </c>
      <c r="BO29" s="208" t="str">
        <f t="shared" si="36"/>
        <v/>
      </c>
    </row>
    <row r="30" spans="1:67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7"/>
        <v>0</v>
      </c>
      <c r="I30" s="208">
        <v>1</v>
      </c>
      <c r="J30" s="208">
        <f t="shared" si="1"/>
        <v>0</v>
      </c>
      <c r="K30" s="208">
        <f t="shared" si="38"/>
        <v>0</v>
      </c>
      <c r="L30" s="208"/>
      <c r="M30" s="7">
        <f t="shared" si="18"/>
        <v>0</v>
      </c>
      <c r="N30" s="7">
        <f t="shared" si="19"/>
        <v>0</v>
      </c>
      <c r="O30" s="208">
        <v>0</v>
      </c>
      <c r="P30" s="208">
        <v>1</v>
      </c>
      <c r="Q30" s="208">
        <f t="shared" si="39"/>
        <v>0</v>
      </c>
      <c r="R30" s="208">
        <v>0</v>
      </c>
      <c r="S30" s="208">
        <f t="shared" si="40"/>
        <v>0</v>
      </c>
      <c r="T30" s="208">
        <f t="shared" si="41"/>
        <v>0</v>
      </c>
      <c r="U30" s="208">
        <f t="shared" si="42"/>
        <v>0</v>
      </c>
      <c r="V30" s="208"/>
      <c r="W30" s="208" t="str">
        <f t="shared" si="21"/>
        <v/>
      </c>
      <c r="X30" s="208" t="str">
        <f t="shared" si="6"/>
        <v/>
      </c>
      <c r="Y30" s="208" t="str">
        <f t="shared" si="22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3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4"/>
        <v/>
      </c>
      <c r="AR30" s="208" t="str">
        <f t="shared" si="14"/>
        <v/>
      </c>
      <c r="AS30" s="208" t="str">
        <f t="shared" si="25"/>
        <v/>
      </c>
      <c r="AV30" s="208" t="b">
        <f t="shared" si="26"/>
        <v>0</v>
      </c>
      <c r="AW30" s="208" t="b">
        <f t="shared" si="27"/>
        <v>0</v>
      </c>
      <c r="BA30" s="208" t="b">
        <f t="shared" si="28"/>
        <v>0</v>
      </c>
      <c r="BB30" s="208" t="b">
        <f t="shared" si="15"/>
        <v>0</v>
      </c>
      <c r="BC30" s="209" t="b">
        <f t="shared" si="29"/>
        <v>0</v>
      </c>
      <c r="BD30" s="208">
        <f t="shared" si="30"/>
        <v>0</v>
      </c>
      <c r="BF30" s="208" t="b">
        <f t="shared" si="31"/>
        <v>0</v>
      </c>
      <c r="BH30" s="209" t="b">
        <f t="shared" si="32"/>
        <v>0</v>
      </c>
      <c r="BI30" s="209" t="b">
        <f t="shared" si="33"/>
        <v>0</v>
      </c>
      <c r="BK30" s="208" t="b">
        <f t="shared" si="16"/>
        <v>0</v>
      </c>
      <c r="BL30" s="208" t="b">
        <f t="shared" si="34"/>
        <v>0</v>
      </c>
      <c r="BM30" s="208" t="b">
        <f t="shared" si="35"/>
        <v>0</v>
      </c>
      <c r="BN30" s="208" t="b">
        <f t="shared" si="17"/>
        <v>0</v>
      </c>
      <c r="BO30" s="208" t="str">
        <f t="shared" si="36"/>
        <v/>
      </c>
    </row>
    <row r="31" spans="1:67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7"/>
        <v>0</v>
      </c>
      <c r="I31" s="208">
        <v>1</v>
      </c>
      <c r="J31" s="208">
        <f t="shared" si="1"/>
        <v>0</v>
      </c>
      <c r="K31" s="208">
        <f t="shared" si="38"/>
        <v>0</v>
      </c>
      <c r="L31" s="208"/>
      <c r="M31" s="7">
        <f t="shared" si="18"/>
        <v>0</v>
      </c>
      <c r="N31" s="7">
        <f t="shared" si="19"/>
        <v>0</v>
      </c>
      <c r="O31" s="208">
        <v>0</v>
      </c>
      <c r="P31" s="208">
        <v>1</v>
      </c>
      <c r="Q31" s="208">
        <f t="shared" si="39"/>
        <v>0</v>
      </c>
      <c r="R31" s="208">
        <v>0</v>
      </c>
      <c r="S31" s="208">
        <f t="shared" si="40"/>
        <v>0</v>
      </c>
      <c r="T31" s="208">
        <f t="shared" si="41"/>
        <v>0</v>
      </c>
      <c r="U31" s="208">
        <f t="shared" si="42"/>
        <v>0</v>
      </c>
      <c r="V31" s="208"/>
      <c r="W31" s="208" t="str">
        <f t="shared" si="21"/>
        <v/>
      </c>
      <c r="X31" s="208" t="str">
        <f t="shared" si="6"/>
        <v/>
      </c>
      <c r="Y31" s="208" t="str">
        <f t="shared" si="22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3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4"/>
        <v/>
      </c>
      <c r="AR31" s="208" t="str">
        <f t="shared" si="14"/>
        <v/>
      </c>
      <c r="AS31" s="208" t="str">
        <f t="shared" si="25"/>
        <v/>
      </c>
      <c r="AV31" s="208" t="b">
        <f t="shared" si="26"/>
        <v>0</v>
      </c>
      <c r="AW31" s="208" t="b">
        <f t="shared" si="27"/>
        <v>0</v>
      </c>
      <c r="BA31" s="208" t="b">
        <f t="shared" si="28"/>
        <v>0</v>
      </c>
      <c r="BB31" s="208" t="b">
        <f t="shared" si="15"/>
        <v>0</v>
      </c>
      <c r="BC31" s="209" t="b">
        <f t="shared" si="29"/>
        <v>0</v>
      </c>
      <c r="BD31" s="208">
        <f t="shared" si="30"/>
        <v>0</v>
      </c>
      <c r="BF31" s="208" t="b">
        <f t="shared" si="31"/>
        <v>0</v>
      </c>
      <c r="BH31" s="209" t="b">
        <f t="shared" si="32"/>
        <v>0</v>
      </c>
      <c r="BI31" s="209" t="b">
        <f t="shared" si="33"/>
        <v>0</v>
      </c>
      <c r="BK31" s="208" t="b">
        <f t="shared" si="16"/>
        <v>0</v>
      </c>
      <c r="BL31" s="208" t="b">
        <f t="shared" si="34"/>
        <v>0</v>
      </c>
      <c r="BM31" s="208" t="b">
        <f t="shared" si="35"/>
        <v>0</v>
      </c>
      <c r="BN31" s="208" t="b">
        <f t="shared" si="17"/>
        <v>0</v>
      </c>
      <c r="BO31" s="208" t="str">
        <f t="shared" si="36"/>
        <v/>
      </c>
    </row>
    <row r="32" spans="1:67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O38" sqref="O38"/>
    </sheetView>
  </sheetViews>
  <sheetFormatPr defaultRowHeight="12.75" x14ac:dyDescent="0.2"/>
  <cols>
    <col min="1" max="1" width="17.7109375" customWidth="1"/>
    <col min="3" max="50" width="4.42578125" style="568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68">
        <v>10</v>
      </c>
      <c r="D2" s="568">
        <v>11</v>
      </c>
      <c r="E2" s="568">
        <v>12</v>
      </c>
      <c r="F2" s="568">
        <v>13</v>
      </c>
      <c r="G2" s="568">
        <v>14</v>
      </c>
      <c r="H2" s="568">
        <v>15</v>
      </c>
      <c r="I2" s="568">
        <v>16</v>
      </c>
      <c r="J2" s="568">
        <v>17</v>
      </c>
      <c r="K2" s="568">
        <v>18</v>
      </c>
      <c r="L2" s="568">
        <v>19</v>
      </c>
      <c r="M2" s="568">
        <v>20</v>
      </c>
      <c r="N2" s="568">
        <v>21</v>
      </c>
      <c r="O2" s="568">
        <v>22</v>
      </c>
      <c r="P2" s="568">
        <v>23</v>
      </c>
      <c r="Q2" s="568">
        <v>24</v>
      </c>
      <c r="R2" s="568">
        <v>1</v>
      </c>
      <c r="S2" s="568">
        <v>2</v>
      </c>
      <c r="T2" s="568">
        <v>3</v>
      </c>
      <c r="U2" s="568">
        <v>4</v>
      </c>
      <c r="V2" s="568">
        <v>5</v>
      </c>
      <c r="W2" s="568">
        <v>6</v>
      </c>
      <c r="X2" s="568">
        <v>7</v>
      </c>
      <c r="Y2" s="568">
        <v>8</v>
      </c>
      <c r="Z2" s="568"/>
      <c r="AA2" s="568">
        <v>9</v>
      </c>
      <c r="AB2" s="568">
        <v>10</v>
      </c>
      <c r="AC2" s="568">
        <v>11</v>
      </c>
      <c r="AD2" s="568">
        <v>12</v>
      </c>
      <c r="AE2" s="568">
        <v>13</v>
      </c>
      <c r="AF2" s="568">
        <v>14</v>
      </c>
      <c r="AG2" s="568">
        <v>15</v>
      </c>
      <c r="AH2" s="568">
        <v>16</v>
      </c>
      <c r="AI2" s="568">
        <v>17</v>
      </c>
      <c r="AJ2" s="568">
        <v>18</v>
      </c>
      <c r="AK2" s="568">
        <v>19</v>
      </c>
      <c r="AL2" s="568">
        <v>20</v>
      </c>
      <c r="AM2" s="568">
        <v>21</v>
      </c>
      <c r="AN2" s="568">
        <v>22</v>
      </c>
      <c r="AO2" s="568">
        <v>23</v>
      </c>
      <c r="AP2" s="568">
        <v>24</v>
      </c>
      <c r="AQ2" s="568">
        <v>1</v>
      </c>
      <c r="AR2" s="568">
        <v>2</v>
      </c>
      <c r="AS2" s="568">
        <v>3</v>
      </c>
      <c r="AT2" s="568">
        <v>4</v>
      </c>
      <c r="AU2" s="568">
        <v>5</v>
      </c>
      <c r="AV2" s="568">
        <v>6</v>
      </c>
      <c r="AW2" s="568">
        <v>7</v>
      </c>
      <c r="AX2" s="568">
        <v>8</v>
      </c>
    </row>
    <row r="3" spans="1:50" x14ac:dyDescent="0.2">
      <c r="A3" s="208"/>
      <c r="B3">
        <v>0</v>
      </c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571"/>
      <c r="X3" s="571"/>
      <c r="Y3" s="571"/>
      <c r="Z3" s="571"/>
      <c r="AA3" s="571"/>
      <c r="AB3" s="571"/>
      <c r="AC3" s="571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1"/>
      <c r="AO3" s="571"/>
      <c r="AP3" s="571"/>
      <c r="AQ3" s="571"/>
      <c r="AR3" s="571"/>
      <c r="AS3" s="571"/>
      <c r="AT3" s="571"/>
      <c r="AU3" s="571"/>
      <c r="AV3" s="571"/>
      <c r="AW3" s="571"/>
      <c r="AX3" s="571"/>
    </row>
    <row r="4" spans="1:50" x14ac:dyDescent="0.2">
      <c r="A4" t="s">
        <v>4552</v>
      </c>
      <c r="B4">
        <v>1</v>
      </c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2" t="s">
        <v>137</v>
      </c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1"/>
      <c r="AL4" s="571"/>
      <c r="AM4" s="571"/>
      <c r="AN4" s="571"/>
      <c r="AO4" s="571"/>
      <c r="AP4" s="571"/>
      <c r="AQ4" s="571"/>
      <c r="AR4" s="571"/>
      <c r="AS4" s="571"/>
      <c r="AT4" s="571"/>
      <c r="AU4" s="571"/>
      <c r="AV4" s="571"/>
      <c r="AW4" s="571"/>
      <c r="AX4" s="571"/>
    </row>
    <row r="5" spans="1:50" x14ac:dyDescent="0.2">
      <c r="A5" t="s">
        <v>4553</v>
      </c>
      <c r="B5">
        <v>1</v>
      </c>
      <c r="C5" s="572" t="s">
        <v>137</v>
      </c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  <c r="U5" s="571"/>
      <c r="V5" s="571"/>
      <c r="W5" s="571"/>
      <c r="X5" s="571"/>
      <c r="Y5" s="571"/>
      <c r="Z5" s="571"/>
      <c r="AA5" s="571" t="s">
        <v>137</v>
      </c>
      <c r="AB5" s="571"/>
      <c r="AC5" s="571"/>
      <c r="AD5" s="571"/>
      <c r="AE5" s="571"/>
      <c r="AF5" s="571"/>
      <c r="AG5" s="571"/>
      <c r="AH5" s="571"/>
      <c r="AI5" s="571"/>
      <c r="AJ5" s="571"/>
      <c r="AK5" s="571"/>
      <c r="AL5" s="571"/>
      <c r="AM5" s="571"/>
      <c r="AN5" s="571"/>
      <c r="AO5" s="571"/>
      <c r="AP5" s="571"/>
      <c r="AQ5" s="571"/>
      <c r="AR5" s="571"/>
      <c r="AS5" s="571"/>
      <c r="AT5" s="571"/>
      <c r="AU5" s="571"/>
      <c r="AV5" s="571"/>
      <c r="AW5" s="571"/>
      <c r="AX5" s="571"/>
    </row>
    <row r="6" spans="1:50" x14ac:dyDescent="0.2">
      <c r="A6" t="s">
        <v>4554</v>
      </c>
      <c r="B6">
        <v>2</v>
      </c>
      <c r="C6" s="572" t="s">
        <v>137</v>
      </c>
      <c r="D6" s="571"/>
      <c r="E6" s="571"/>
      <c r="F6" s="571"/>
      <c r="G6" s="571"/>
      <c r="H6" s="571"/>
      <c r="I6" s="571"/>
      <c r="J6" s="571"/>
      <c r="K6" s="571"/>
      <c r="L6" s="571"/>
      <c r="M6" s="571"/>
      <c r="N6" s="571"/>
      <c r="O6" s="572" t="s">
        <v>137</v>
      </c>
      <c r="P6" s="571"/>
      <c r="Q6" s="571"/>
      <c r="R6" s="571"/>
      <c r="S6" s="571"/>
      <c r="T6" s="571"/>
      <c r="U6" s="571"/>
      <c r="V6" s="571"/>
      <c r="W6" s="571"/>
      <c r="X6" s="571"/>
      <c r="Y6" s="571"/>
      <c r="Z6" s="571"/>
      <c r="AA6" s="571" t="s">
        <v>137</v>
      </c>
      <c r="AB6" s="571"/>
      <c r="AC6" s="571"/>
      <c r="AD6" s="571"/>
      <c r="AE6" s="571"/>
      <c r="AF6" s="571"/>
      <c r="AG6" s="571"/>
      <c r="AH6" s="571"/>
      <c r="AI6" s="571"/>
      <c r="AJ6" s="571"/>
      <c r="AK6" s="571"/>
      <c r="AL6" s="571"/>
      <c r="AM6" s="571" t="s">
        <v>137</v>
      </c>
      <c r="AN6" s="571"/>
      <c r="AO6" s="571"/>
      <c r="AP6" s="571"/>
      <c r="AQ6" s="571"/>
      <c r="AR6" s="571"/>
      <c r="AS6" s="571"/>
      <c r="AT6" s="571"/>
      <c r="AU6" s="571"/>
      <c r="AV6" s="571"/>
      <c r="AW6" s="571"/>
      <c r="AX6" s="571"/>
    </row>
    <row r="7" spans="1:50" x14ac:dyDescent="0.2">
      <c r="A7" t="s">
        <v>4555</v>
      </c>
      <c r="B7">
        <v>3</v>
      </c>
      <c r="C7" s="572" t="s">
        <v>137</v>
      </c>
      <c r="D7" s="571"/>
      <c r="E7" s="571"/>
      <c r="F7" s="571"/>
      <c r="G7" s="571"/>
      <c r="H7" s="571"/>
      <c r="I7" s="571"/>
      <c r="J7" s="571"/>
      <c r="K7" s="572" t="s">
        <v>137</v>
      </c>
      <c r="L7" s="571"/>
      <c r="M7" s="571"/>
      <c r="N7" s="571"/>
      <c r="O7" s="571"/>
      <c r="P7" s="571"/>
      <c r="Q7" s="571"/>
      <c r="R7" s="571"/>
      <c r="S7" s="572" t="s">
        <v>137</v>
      </c>
      <c r="T7" s="571"/>
      <c r="U7" s="571"/>
      <c r="V7" s="571"/>
      <c r="W7" s="571"/>
      <c r="X7" s="571"/>
      <c r="Y7" s="571"/>
      <c r="Z7" s="571"/>
      <c r="AA7" s="571" t="s">
        <v>137</v>
      </c>
      <c r="AB7" s="571"/>
      <c r="AC7" s="571"/>
      <c r="AD7" s="571"/>
      <c r="AE7" s="571"/>
      <c r="AF7" s="571"/>
      <c r="AG7" s="571"/>
      <c r="AH7" s="571"/>
      <c r="AI7" s="571" t="s">
        <v>137</v>
      </c>
      <c r="AJ7" s="571"/>
      <c r="AK7" s="571"/>
      <c r="AL7" s="571"/>
      <c r="AM7" s="571"/>
      <c r="AN7" s="571"/>
      <c r="AO7" s="571"/>
      <c r="AP7" s="571"/>
      <c r="AQ7" s="571" t="s">
        <v>137</v>
      </c>
      <c r="AR7" s="571"/>
      <c r="AS7" s="571"/>
      <c r="AT7" s="571"/>
      <c r="AU7" s="571"/>
      <c r="AV7" s="571"/>
      <c r="AW7" s="571"/>
      <c r="AX7" s="571"/>
    </row>
    <row r="8" spans="1:50" x14ac:dyDescent="0.2">
      <c r="A8" t="s">
        <v>4556</v>
      </c>
      <c r="B8">
        <v>4</v>
      </c>
      <c r="C8" s="571"/>
      <c r="D8" s="571"/>
      <c r="E8" s="572" t="s">
        <v>137</v>
      </c>
      <c r="F8" s="571"/>
      <c r="G8" s="571"/>
      <c r="H8" s="571"/>
      <c r="I8" s="571"/>
      <c r="J8" s="571"/>
      <c r="K8" s="572" t="s">
        <v>137</v>
      </c>
      <c r="L8" s="571"/>
      <c r="M8" s="571"/>
      <c r="N8" s="571"/>
      <c r="O8" s="572"/>
      <c r="P8" s="571"/>
      <c r="Q8" s="572" t="s">
        <v>137</v>
      </c>
      <c r="R8" s="571"/>
      <c r="S8" s="571"/>
      <c r="T8" s="571"/>
      <c r="U8" s="571"/>
      <c r="V8" s="571"/>
      <c r="W8" s="572" t="s">
        <v>137</v>
      </c>
      <c r="X8" s="571"/>
      <c r="Y8" s="571"/>
      <c r="Z8" s="571"/>
      <c r="AA8" s="571" t="s">
        <v>137</v>
      </c>
      <c r="AB8" s="571"/>
      <c r="AC8" s="571"/>
      <c r="AD8" s="571"/>
      <c r="AE8" s="571"/>
      <c r="AF8" s="571"/>
      <c r="AG8" s="571" t="s">
        <v>137</v>
      </c>
      <c r="AH8" s="571"/>
      <c r="AI8" s="571"/>
      <c r="AJ8" s="571"/>
      <c r="AK8" s="571"/>
      <c r="AL8" s="571"/>
      <c r="AM8" s="571" t="s">
        <v>137</v>
      </c>
      <c r="AN8" s="571"/>
      <c r="AO8" s="571"/>
      <c r="AP8" s="571"/>
      <c r="AQ8" s="571"/>
      <c r="AR8" s="571"/>
      <c r="AS8" s="571" t="s">
        <v>137</v>
      </c>
      <c r="AT8" s="571"/>
      <c r="AU8" s="571"/>
      <c r="AV8" s="571"/>
      <c r="AW8" s="571"/>
      <c r="AX8" s="571"/>
    </row>
    <row r="9" spans="1:50" x14ac:dyDescent="0.2">
      <c r="A9" t="s">
        <v>4557</v>
      </c>
      <c r="B9">
        <v>5</v>
      </c>
      <c r="C9" s="571"/>
      <c r="D9" s="571"/>
      <c r="E9" s="571"/>
      <c r="F9" s="571"/>
      <c r="G9" s="571"/>
      <c r="H9" s="571"/>
      <c r="I9" s="571"/>
      <c r="J9" s="571"/>
      <c r="K9" s="571"/>
      <c r="L9" s="571"/>
      <c r="M9" s="571"/>
      <c r="N9" s="571"/>
      <c r="O9" s="571"/>
      <c r="P9" s="571"/>
      <c r="Q9" s="571"/>
      <c r="R9" s="571"/>
      <c r="S9" s="571"/>
      <c r="T9" s="571"/>
      <c r="U9" s="571"/>
      <c r="V9" s="571"/>
      <c r="W9" s="571"/>
      <c r="X9" s="571"/>
      <c r="Y9" s="571"/>
      <c r="Z9" s="571"/>
      <c r="AA9" s="571" t="s">
        <v>137</v>
      </c>
      <c r="AB9" s="571"/>
      <c r="AC9" s="571"/>
      <c r="AD9" s="571" t="s">
        <v>137</v>
      </c>
      <c r="AE9" s="571"/>
      <c r="AF9" s="571"/>
      <c r="AG9" s="571" t="s">
        <v>137</v>
      </c>
      <c r="AH9" s="571"/>
      <c r="AI9" s="571"/>
      <c r="AJ9" s="571" t="s">
        <v>137</v>
      </c>
      <c r="AK9" s="571"/>
      <c r="AL9" s="571"/>
      <c r="AM9" s="571"/>
      <c r="AN9" s="571" t="s">
        <v>137</v>
      </c>
      <c r="AO9" s="571"/>
      <c r="AP9" s="571"/>
      <c r="AQ9" s="571"/>
      <c r="AR9" s="571"/>
      <c r="AS9" s="571"/>
      <c r="AT9" s="571"/>
      <c r="AU9" s="571"/>
      <c r="AV9" s="571"/>
      <c r="AW9" s="571"/>
      <c r="AX9" s="571"/>
    </row>
    <row r="10" spans="1:50" x14ac:dyDescent="0.2">
      <c r="A10" t="s">
        <v>4558</v>
      </c>
      <c r="B10">
        <v>6</v>
      </c>
      <c r="C10" s="571" t="s">
        <v>137</v>
      </c>
      <c r="D10" s="571"/>
      <c r="E10" s="571"/>
      <c r="F10" s="571"/>
      <c r="G10" s="571" t="s">
        <v>137</v>
      </c>
      <c r="H10" s="571"/>
      <c r="I10" s="571"/>
      <c r="J10" s="571"/>
      <c r="K10" s="571" t="s">
        <v>137</v>
      </c>
      <c r="L10" s="571"/>
      <c r="M10" s="571"/>
      <c r="N10" s="571"/>
      <c r="O10" s="571" t="s">
        <v>137</v>
      </c>
      <c r="P10" s="571"/>
      <c r="Q10" s="571"/>
      <c r="R10" s="571"/>
      <c r="S10" s="571" t="s">
        <v>137</v>
      </c>
      <c r="T10" s="571"/>
      <c r="U10" s="571"/>
      <c r="V10" s="571"/>
      <c r="W10" s="571" t="s">
        <v>137</v>
      </c>
      <c r="X10" s="571"/>
      <c r="Y10" s="571"/>
      <c r="Z10" s="571"/>
      <c r="AA10" s="571" t="s">
        <v>137</v>
      </c>
      <c r="AB10" s="571"/>
      <c r="AC10" s="571"/>
      <c r="AD10" s="571"/>
      <c r="AE10" s="571" t="s">
        <v>137</v>
      </c>
      <c r="AF10" s="571"/>
      <c r="AG10" s="571"/>
      <c r="AH10" s="571"/>
      <c r="AI10" s="571" t="s">
        <v>137</v>
      </c>
      <c r="AJ10" s="571"/>
      <c r="AK10" s="571"/>
      <c r="AL10" s="571"/>
      <c r="AM10" s="571" t="s">
        <v>137</v>
      </c>
      <c r="AN10" s="571"/>
      <c r="AO10" s="571"/>
      <c r="AP10" s="571"/>
      <c r="AQ10" s="571" t="s">
        <v>137</v>
      </c>
      <c r="AR10" s="571"/>
      <c r="AS10" s="571"/>
      <c r="AT10" s="571"/>
      <c r="AU10" s="571" t="s">
        <v>137</v>
      </c>
      <c r="AV10" s="571"/>
      <c r="AW10" s="571"/>
      <c r="AX10" s="571"/>
    </row>
    <row r="11" spans="1:50" x14ac:dyDescent="0.2">
      <c r="A11" t="s">
        <v>4559</v>
      </c>
      <c r="B11">
        <v>7</v>
      </c>
      <c r="C11" s="571"/>
      <c r="D11" s="571"/>
      <c r="E11" s="571"/>
      <c r="F11" s="571"/>
      <c r="G11" s="571"/>
      <c r="H11" s="571"/>
      <c r="I11" s="571"/>
      <c r="J11" s="571"/>
      <c r="K11" s="571"/>
      <c r="L11" s="571"/>
      <c r="M11" s="571"/>
      <c r="N11" s="571"/>
      <c r="O11" s="571"/>
      <c r="P11" s="571"/>
      <c r="Q11" s="571"/>
      <c r="R11" s="571"/>
      <c r="S11" s="571"/>
      <c r="T11" s="571"/>
      <c r="U11" s="571"/>
      <c r="V11" s="571"/>
      <c r="W11" s="571"/>
      <c r="X11" s="571"/>
      <c r="Y11" s="571"/>
      <c r="Z11" s="571"/>
      <c r="AA11" s="571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  <c r="AL11" s="571"/>
      <c r="AM11" s="571"/>
      <c r="AN11" s="571"/>
      <c r="AO11" s="571"/>
      <c r="AP11" s="571"/>
      <c r="AQ11" s="571"/>
      <c r="AR11" s="571"/>
      <c r="AS11" s="571"/>
      <c r="AT11" s="571"/>
      <c r="AU11" s="571"/>
      <c r="AV11" s="571"/>
      <c r="AW11" s="571"/>
      <c r="AX11" s="571"/>
    </row>
    <row r="12" spans="1:50" x14ac:dyDescent="0.2">
      <c r="A12" t="s">
        <v>4560</v>
      </c>
      <c r="B12">
        <v>8</v>
      </c>
      <c r="C12" s="571"/>
      <c r="D12" s="571" t="s">
        <v>137</v>
      </c>
      <c r="E12" s="571"/>
      <c r="F12" s="571"/>
      <c r="G12" s="571" t="s">
        <v>137</v>
      </c>
      <c r="H12" s="571"/>
      <c r="I12" s="571"/>
      <c r="J12" s="571" t="s">
        <v>137</v>
      </c>
      <c r="K12" s="571"/>
      <c r="L12" s="571"/>
      <c r="M12" s="571" t="s">
        <v>137</v>
      </c>
      <c r="N12" s="571"/>
      <c r="O12" s="571"/>
      <c r="P12" s="571" t="s">
        <v>137</v>
      </c>
      <c r="Q12" s="571"/>
      <c r="R12" s="571"/>
      <c r="S12" s="571" t="s">
        <v>137</v>
      </c>
      <c r="T12" s="571"/>
      <c r="U12" s="571"/>
      <c r="V12" s="571" t="s">
        <v>137</v>
      </c>
      <c r="W12" s="571"/>
      <c r="X12" s="571"/>
      <c r="Y12" s="571" t="s">
        <v>137</v>
      </c>
      <c r="Z12" s="571"/>
      <c r="AA12" s="571"/>
      <c r="AB12" s="571"/>
      <c r="AC12" s="571" t="s">
        <v>137</v>
      </c>
      <c r="AD12" s="571"/>
      <c r="AE12" s="571"/>
      <c r="AF12" s="571" t="s">
        <v>137</v>
      </c>
      <c r="AG12" s="571"/>
      <c r="AH12" s="571"/>
      <c r="AI12" s="571" t="s">
        <v>137</v>
      </c>
      <c r="AJ12" s="571"/>
      <c r="AK12" s="571"/>
      <c r="AL12" s="571" t="s">
        <v>137</v>
      </c>
      <c r="AM12" s="571"/>
      <c r="AN12" s="571"/>
      <c r="AO12" s="571" t="s">
        <v>137</v>
      </c>
      <c r="AP12" s="571"/>
      <c r="AQ12" s="571"/>
      <c r="AR12" s="571" t="s">
        <v>137</v>
      </c>
      <c r="AS12" s="571"/>
      <c r="AT12" s="571"/>
      <c r="AU12" s="571" t="s">
        <v>137</v>
      </c>
      <c r="AV12" s="571"/>
      <c r="AW12" s="571"/>
      <c r="AX12" s="571" t="s">
        <v>137</v>
      </c>
    </row>
    <row r="13" spans="1:50" x14ac:dyDescent="0.2">
      <c r="A13" t="s">
        <v>4561</v>
      </c>
      <c r="B13">
        <v>9</v>
      </c>
      <c r="C13" s="571"/>
      <c r="D13" s="571"/>
      <c r="E13" s="571"/>
      <c r="F13" s="571"/>
      <c r="G13" s="571"/>
      <c r="H13" s="571"/>
      <c r="I13" s="571"/>
      <c r="J13" s="571"/>
      <c r="K13" s="571"/>
      <c r="L13" s="571"/>
      <c r="M13" s="571"/>
      <c r="N13" s="571"/>
      <c r="O13" s="571"/>
      <c r="P13" s="571"/>
      <c r="Q13" s="571"/>
      <c r="R13" s="571"/>
      <c r="S13" s="571"/>
      <c r="T13" s="571"/>
      <c r="U13" s="571"/>
      <c r="V13" s="571"/>
      <c r="W13" s="571"/>
      <c r="X13" s="571"/>
      <c r="Y13" s="571"/>
      <c r="Z13" s="571"/>
      <c r="AA13" s="571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  <c r="AL13" s="571"/>
      <c r="AM13" s="571"/>
      <c r="AN13" s="571"/>
      <c r="AO13" s="571"/>
      <c r="AP13" s="571"/>
      <c r="AQ13" s="571"/>
      <c r="AR13" s="571"/>
      <c r="AS13" s="571"/>
      <c r="AT13" s="571"/>
      <c r="AU13" s="571"/>
      <c r="AV13" s="571"/>
      <c r="AW13" s="571"/>
      <c r="AX13" s="571"/>
    </row>
    <row r="14" spans="1:50" x14ac:dyDescent="0.2">
      <c r="A14" t="s">
        <v>4562</v>
      </c>
      <c r="B14">
        <v>10</v>
      </c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  <c r="Q14" s="571"/>
      <c r="R14" s="571"/>
      <c r="S14" s="571"/>
      <c r="T14" s="571"/>
      <c r="U14" s="571"/>
      <c r="V14" s="571"/>
      <c r="W14" s="571"/>
      <c r="X14" s="571"/>
      <c r="Y14" s="571"/>
      <c r="Z14" s="571"/>
      <c r="AA14" s="571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  <c r="AL14" s="571"/>
      <c r="AM14" s="571"/>
      <c r="AN14" s="571"/>
      <c r="AO14" s="571"/>
      <c r="AP14" s="571"/>
      <c r="AQ14" s="571"/>
      <c r="AR14" s="571"/>
      <c r="AS14" s="571"/>
      <c r="AT14" s="571"/>
      <c r="AU14" s="571"/>
      <c r="AV14" s="571"/>
      <c r="AW14" s="571"/>
      <c r="AX14" s="571"/>
    </row>
    <row r="15" spans="1:50" x14ac:dyDescent="0.2">
      <c r="A15" t="s">
        <v>4563</v>
      </c>
      <c r="B15">
        <v>11</v>
      </c>
      <c r="C15" s="571"/>
      <c r="D15" s="571"/>
      <c r="E15" s="571"/>
      <c r="F15" s="571"/>
      <c r="G15" s="571"/>
      <c r="H15" s="571"/>
      <c r="I15" s="571"/>
      <c r="J15" s="571"/>
      <c r="K15" s="571"/>
      <c r="L15" s="571"/>
      <c r="M15" s="571"/>
      <c r="N15" s="571"/>
      <c r="O15" s="571"/>
      <c r="P15" s="571"/>
      <c r="Q15" s="571"/>
      <c r="R15" s="571"/>
      <c r="S15" s="571"/>
      <c r="T15" s="571"/>
      <c r="U15" s="571"/>
      <c r="V15" s="571"/>
      <c r="W15" s="571"/>
      <c r="X15" s="571"/>
      <c r="Y15" s="571"/>
      <c r="Z15" s="571"/>
      <c r="AA15" s="571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  <c r="AL15" s="571"/>
      <c r="AM15" s="571"/>
      <c r="AN15" s="571"/>
      <c r="AO15" s="571"/>
      <c r="AP15" s="571"/>
      <c r="AQ15" s="571"/>
      <c r="AR15" s="571"/>
      <c r="AS15" s="571"/>
      <c r="AT15" s="571"/>
      <c r="AU15" s="571"/>
      <c r="AV15" s="571"/>
      <c r="AW15" s="571"/>
      <c r="AX15" s="571"/>
    </row>
    <row r="16" spans="1:50" x14ac:dyDescent="0.2">
      <c r="A16" t="s">
        <v>4564</v>
      </c>
      <c r="B16">
        <v>12</v>
      </c>
      <c r="C16" s="571" t="s">
        <v>137</v>
      </c>
      <c r="D16" s="571"/>
      <c r="E16" s="571" t="s">
        <v>137</v>
      </c>
      <c r="F16" s="571"/>
      <c r="G16" s="571" t="s">
        <v>137</v>
      </c>
      <c r="H16" s="571"/>
      <c r="I16" s="571" t="s">
        <v>137</v>
      </c>
      <c r="J16" s="571"/>
      <c r="K16" s="571" t="s">
        <v>137</v>
      </c>
      <c r="L16" s="571"/>
      <c r="M16" s="571" t="s">
        <v>137</v>
      </c>
      <c r="N16" s="571"/>
      <c r="O16" s="571" t="s">
        <v>137</v>
      </c>
      <c r="P16" s="571"/>
      <c r="Q16" s="571" t="s">
        <v>137</v>
      </c>
      <c r="R16" s="571"/>
      <c r="S16" s="571" t="s">
        <v>137</v>
      </c>
      <c r="T16" s="571"/>
      <c r="U16" s="571" t="s">
        <v>137</v>
      </c>
      <c r="V16" s="571"/>
      <c r="W16" s="571" t="s">
        <v>137</v>
      </c>
      <c r="X16" s="571"/>
      <c r="Y16" s="571" t="s">
        <v>137</v>
      </c>
      <c r="Z16" s="571"/>
      <c r="AA16" s="571" t="s">
        <v>137</v>
      </c>
      <c r="AB16" s="571"/>
      <c r="AC16" s="571" t="s">
        <v>137</v>
      </c>
      <c r="AD16" s="571"/>
      <c r="AE16" s="571" t="s">
        <v>137</v>
      </c>
      <c r="AF16" s="571"/>
      <c r="AG16" s="571" t="s">
        <v>137</v>
      </c>
      <c r="AH16" s="571"/>
      <c r="AI16" s="571" t="s">
        <v>137</v>
      </c>
      <c r="AJ16" s="571"/>
      <c r="AK16" s="571" t="s">
        <v>137</v>
      </c>
      <c r="AL16" s="571"/>
      <c r="AM16" s="571" t="s">
        <v>137</v>
      </c>
      <c r="AN16" s="571"/>
      <c r="AO16" s="571" t="s">
        <v>137</v>
      </c>
      <c r="AP16" s="571"/>
      <c r="AQ16" s="571" t="s">
        <v>137</v>
      </c>
      <c r="AR16" s="571"/>
      <c r="AS16" s="571" t="s">
        <v>137</v>
      </c>
      <c r="AT16" s="571"/>
      <c r="AU16" s="571" t="s">
        <v>137</v>
      </c>
      <c r="AV16" s="571"/>
      <c r="AW16" s="571" t="s">
        <v>137</v>
      </c>
      <c r="AX16" s="571"/>
    </row>
    <row r="17" spans="1:50" s="208" customFormat="1" x14ac:dyDescent="0.2">
      <c r="A17" s="209" t="s">
        <v>5437</v>
      </c>
      <c r="B17" s="208">
        <v>24</v>
      </c>
      <c r="C17" s="572" t="s">
        <v>137</v>
      </c>
      <c r="D17" s="572" t="s">
        <v>137</v>
      </c>
      <c r="E17" s="572" t="s">
        <v>137</v>
      </c>
      <c r="F17" s="572" t="s">
        <v>137</v>
      </c>
      <c r="G17" s="572" t="s">
        <v>137</v>
      </c>
      <c r="H17" s="572" t="s">
        <v>137</v>
      </c>
      <c r="I17" s="572" t="s">
        <v>137</v>
      </c>
      <c r="J17" s="572" t="s">
        <v>137</v>
      </c>
      <c r="K17" s="572" t="s">
        <v>137</v>
      </c>
      <c r="L17" s="572" t="s">
        <v>137</v>
      </c>
      <c r="M17" s="572" t="s">
        <v>137</v>
      </c>
      <c r="N17" s="572" t="s">
        <v>137</v>
      </c>
      <c r="O17" s="572" t="s">
        <v>137</v>
      </c>
      <c r="P17" s="572" t="s">
        <v>137</v>
      </c>
      <c r="Q17" s="572" t="s">
        <v>137</v>
      </c>
      <c r="R17" s="572" t="s">
        <v>137</v>
      </c>
      <c r="S17" s="572" t="s">
        <v>137</v>
      </c>
      <c r="T17" s="572" t="s">
        <v>137</v>
      </c>
      <c r="U17" s="572" t="s">
        <v>137</v>
      </c>
      <c r="V17" s="572" t="s">
        <v>137</v>
      </c>
      <c r="W17" s="572" t="s">
        <v>137</v>
      </c>
      <c r="X17" s="572" t="s">
        <v>137</v>
      </c>
      <c r="Y17" s="572" t="s">
        <v>137</v>
      </c>
      <c r="Z17" s="572"/>
      <c r="AA17" s="572" t="s">
        <v>137</v>
      </c>
      <c r="AB17" s="572" t="s">
        <v>137</v>
      </c>
      <c r="AC17" s="572" t="s">
        <v>137</v>
      </c>
      <c r="AD17" s="572" t="s">
        <v>137</v>
      </c>
      <c r="AE17" s="572" t="s">
        <v>137</v>
      </c>
      <c r="AF17" s="572" t="s">
        <v>137</v>
      </c>
      <c r="AG17" s="572" t="s">
        <v>137</v>
      </c>
      <c r="AH17" s="572" t="s">
        <v>137</v>
      </c>
      <c r="AI17" s="572" t="s">
        <v>137</v>
      </c>
      <c r="AJ17" s="572" t="s">
        <v>137</v>
      </c>
      <c r="AK17" s="572" t="s">
        <v>137</v>
      </c>
      <c r="AL17" s="572" t="s">
        <v>137</v>
      </c>
      <c r="AM17" s="572" t="s">
        <v>137</v>
      </c>
      <c r="AN17" s="572" t="s">
        <v>137</v>
      </c>
      <c r="AO17" s="572" t="s">
        <v>137</v>
      </c>
      <c r="AP17" s="572" t="s">
        <v>137</v>
      </c>
      <c r="AQ17" s="572" t="s">
        <v>137</v>
      </c>
      <c r="AR17" s="572" t="s">
        <v>137</v>
      </c>
      <c r="AS17" s="572" t="s">
        <v>137</v>
      </c>
      <c r="AT17" s="572" t="s">
        <v>137</v>
      </c>
      <c r="AU17" s="572" t="s">
        <v>137</v>
      </c>
      <c r="AV17" s="572" t="s">
        <v>137</v>
      </c>
      <c r="AW17" s="572" t="s">
        <v>137</v>
      </c>
      <c r="AX17" s="572" t="s">
        <v>137</v>
      </c>
    </row>
    <row r="18" spans="1:50" x14ac:dyDescent="0.2">
      <c r="A18" t="s">
        <v>4565</v>
      </c>
      <c r="B18">
        <f>1/2</f>
        <v>0.5</v>
      </c>
      <c r="C18" s="571"/>
      <c r="D18" s="571"/>
      <c r="E18" s="571"/>
      <c r="F18" s="571"/>
      <c r="G18" s="571"/>
      <c r="H18" s="571"/>
      <c r="I18" s="571"/>
      <c r="J18" s="571"/>
      <c r="K18" s="571"/>
      <c r="L18" s="571"/>
      <c r="M18" s="571"/>
      <c r="N18" s="571"/>
      <c r="O18" s="571"/>
      <c r="P18" s="571"/>
      <c r="Q18" s="571"/>
      <c r="R18" s="571"/>
      <c r="S18" s="571"/>
      <c r="T18" s="571"/>
      <c r="U18" s="571"/>
      <c r="V18" s="571"/>
      <c r="W18" s="571"/>
      <c r="X18" s="571"/>
      <c r="Y18" s="571"/>
      <c r="Z18" s="571"/>
      <c r="AA18" s="571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  <c r="AL18" s="571"/>
      <c r="AM18" s="571"/>
      <c r="AN18" s="571"/>
      <c r="AO18" s="571"/>
      <c r="AP18" s="571"/>
      <c r="AQ18" s="571"/>
      <c r="AR18" s="571"/>
      <c r="AS18" s="571"/>
      <c r="AT18" s="571"/>
      <c r="AU18" s="571"/>
      <c r="AV18" s="571"/>
      <c r="AW18" s="571"/>
      <c r="AX18" s="571"/>
    </row>
    <row r="19" spans="1:50" x14ac:dyDescent="0.2">
      <c r="A19" t="s">
        <v>4566</v>
      </c>
      <c r="B19">
        <f>1/3</f>
        <v>0.33333333333333331</v>
      </c>
      <c r="C19" s="571"/>
      <c r="D19" s="571"/>
      <c r="E19" s="571"/>
      <c r="F19" s="571"/>
      <c r="G19" s="571"/>
      <c r="H19" s="571"/>
      <c r="I19" s="571"/>
      <c r="J19" s="571"/>
      <c r="K19" s="571"/>
      <c r="L19" s="571"/>
      <c r="M19" s="571"/>
      <c r="N19" s="571"/>
      <c r="O19" s="571"/>
      <c r="P19" s="571"/>
      <c r="Q19" s="571"/>
      <c r="R19" s="571"/>
      <c r="S19" s="571"/>
      <c r="T19" s="571"/>
      <c r="U19" s="571"/>
      <c r="V19" s="571"/>
      <c r="W19" s="571"/>
      <c r="X19" s="571"/>
      <c r="Y19" s="571"/>
      <c r="Z19" s="571"/>
      <c r="AA19" s="571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  <c r="AL19" s="571"/>
      <c r="AM19" s="571"/>
      <c r="AN19" s="571"/>
      <c r="AO19" s="571"/>
      <c r="AP19" s="571"/>
      <c r="AQ19" s="571"/>
      <c r="AR19" s="571"/>
      <c r="AS19" s="571"/>
      <c r="AT19" s="571"/>
      <c r="AU19" s="571"/>
      <c r="AV19" s="571"/>
      <c r="AW19" s="571"/>
      <c r="AX19" s="571"/>
    </row>
    <row r="20" spans="1:50" x14ac:dyDescent="0.2">
      <c r="A20" s="209" t="s">
        <v>5436</v>
      </c>
      <c r="B20">
        <f>2/3</f>
        <v>0.66666666666666663</v>
      </c>
      <c r="C20" s="571"/>
      <c r="D20" s="571"/>
      <c r="E20" s="571"/>
      <c r="F20" s="571"/>
      <c r="G20" s="571"/>
      <c r="H20" s="571"/>
      <c r="I20" s="571"/>
      <c r="J20" s="571"/>
      <c r="K20" s="571"/>
      <c r="L20" s="571"/>
      <c r="M20" s="571"/>
      <c r="N20" s="571"/>
      <c r="O20" s="571"/>
      <c r="P20" s="571"/>
      <c r="Q20" s="571"/>
      <c r="R20" s="571"/>
      <c r="S20" s="571"/>
      <c r="T20" s="571"/>
      <c r="U20" s="571"/>
      <c r="V20" s="571"/>
      <c r="W20" s="571"/>
      <c r="X20" s="571"/>
      <c r="Y20" s="571"/>
      <c r="Z20" s="571"/>
      <c r="AA20" s="571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  <c r="AL20" s="571"/>
      <c r="AM20" s="571"/>
      <c r="AN20" s="571"/>
      <c r="AO20" s="571"/>
      <c r="AP20" s="571"/>
      <c r="AQ20" s="571"/>
      <c r="AR20" s="571"/>
      <c r="AS20" s="571"/>
      <c r="AT20" s="571"/>
      <c r="AU20" s="571"/>
      <c r="AV20" s="571"/>
      <c r="AW20" s="571"/>
      <c r="AX20" s="571"/>
    </row>
    <row r="21" spans="1:50" x14ac:dyDescent="0.2">
      <c r="A21" t="s">
        <v>4567</v>
      </c>
      <c r="B21">
        <f>1/7</f>
        <v>0.14285714285714285</v>
      </c>
      <c r="C21" s="571"/>
      <c r="D21" s="571"/>
      <c r="E21" s="571"/>
      <c r="F21" s="571"/>
      <c r="G21" s="571"/>
      <c r="H21" s="571"/>
      <c r="I21" s="571"/>
      <c r="J21" s="571"/>
      <c r="K21" s="571"/>
      <c r="L21" s="571"/>
      <c r="M21" s="571"/>
      <c r="N21" s="571"/>
      <c r="O21" s="571"/>
      <c r="P21" s="571"/>
      <c r="Q21" s="571"/>
      <c r="R21" s="571"/>
      <c r="S21" s="571"/>
      <c r="T21" s="571"/>
      <c r="U21" s="571"/>
      <c r="V21" s="571"/>
      <c r="W21" s="571"/>
      <c r="X21" s="571"/>
      <c r="Y21" s="571"/>
      <c r="Z21" s="571"/>
      <c r="AA21" s="571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  <c r="AL21" s="571"/>
      <c r="AM21" s="571"/>
      <c r="AN21" s="571"/>
      <c r="AO21" s="571"/>
      <c r="AP21" s="571"/>
      <c r="AQ21" s="571"/>
      <c r="AR21" s="571"/>
      <c r="AS21" s="571"/>
      <c r="AT21" s="571"/>
      <c r="AU21" s="571"/>
      <c r="AV21" s="571"/>
      <c r="AW21" s="571"/>
      <c r="AX21" s="571"/>
    </row>
    <row r="22" spans="1:50" x14ac:dyDescent="0.2">
      <c r="A22" t="s">
        <v>4568</v>
      </c>
      <c r="B22">
        <f>2/7</f>
        <v>0.2857142857142857</v>
      </c>
      <c r="C22" s="571"/>
      <c r="D22" s="571"/>
      <c r="E22" s="571"/>
      <c r="F22" s="571"/>
      <c r="G22" s="571"/>
      <c r="H22" s="571"/>
      <c r="I22" s="571"/>
      <c r="J22" s="571"/>
      <c r="K22" s="571"/>
      <c r="L22" s="571"/>
      <c r="M22" s="571"/>
      <c r="N22" s="571"/>
      <c r="O22" s="571"/>
      <c r="P22" s="571"/>
      <c r="Q22" s="571"/>
      <c r="R22" s="571"/>
      <c r="S22" s="571"/>
      <c r="T22" s="571"/>
      <c r="U22" s="571"/>
      <c r="V22" s="571"/>
      <c r="W22" s="571"/>
      <c r="X22" s="571"/>
      <c r="Y22" s="571"/>
      <c r="Z22" s="571"/>
      <c r="AA22" s="571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  <c r="AL22" s="571"/>
      <c r="AM22" s="571"/>
      <c r="AN22" s="571"/>
      <c r="AO22" s="571"/>
      <c r="AP22" s="571"/>
      <c r="AQ22" s="571"/>
      <c r="AR22" s="571"/>
      <c r="AS22" s="571"/>
      <c r="AT22" s="571"/>
      <c r="AU22" s="571"/>
      <c r="AV22" s="571"/>
      <c r="AW22" s="571"/>
      <c r="AX22" s="571"/>
    </row>
    <row r="23" spans="1:50" x14ac:dyDescent="0.2">
      <c r="A23" t="s">
        <v>4569</v>
      </c>
      <c r="B23">
        <f>3/7</f>
        <v>0.42857142857142855</v>
      </c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  <c r="R23" s="571"/>
      <c r="S23" s="571"/>
      <c r="T23" s="571"/>
      <c r="U23" s="571"/>
      <c r="V23" s="571"/>
      <c r="W23" s="571"/>
      <c r="X23" s="571"/>
      <c r="Y23" s="571"/>
      <c r="Z23" s="571"/>
      <c r="AA23" s="571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  <c r="AL23" s="571"/>
      <c r="AM23" s="571"/>
      <c r="AN23" s="571"/>
      <c r="AO23" s="571"/>
      <c r="AP23" s="571"/>
      <c r="AQ23" s="571"/>
      <c r="AR23" s="571"/>
      <c r="AS23" s="571"/>
      <c r="AT23" s="571"/>
      <c r="AU23" s="571"/>
      <c r="AV23" s="571"/>
      <c r="AW23" s="571"/>
      <c r="AX23" s="571"/>
    </row>
    <row r="24" spans="1:50" x14ac:dyDescent="0.2">
      <c r="A24" t="s">
        <v>4570</v>
      </c>
      <c r="B24">
        <f>4/7</f>
        <v>0.5714285714285714</v>
      </c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  <c r="R24" s="571"/>
      <c r="S24" s="571"/>
      <c r="T24" s="571"/>
      <c r="U24" s="571"/>
      <c r="V24" s="571"/>
      <c r="W24" s="571"/>
      <c r="X24" s="571"/>
      <c r="Y24" s="571"/>
      <c r="Z24" s="571"/>
      <c r="AA24" s="571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  <c r="AL24" s="571"/>
      <c r="AM24" s="571"/>
      <c r="AN24" s="571"/>
      <c r="AO24" s="571"/>
      <c r="AP24" s="571"/>
      <c r="AQ24" s="571"/>
      <c r="AR24" s="571"/>
      <c r="AS24" s="571"/>
      <c r="AT24" s="571"/>
      <c r="AU24" s="571"/>
      <c r="AV24" s="571"/>
      <c r="AW24" s="571"/>
      <c r="AX24" s="571"/>
    </row>
    <row r="25" spans="1:50" x14ac:dyDescent="0.2">
      <c r="A25" t="s">
        <v>4571</v>
      </c>
      <c r="B25">
        <f>1/14</f>
        <v>7.1428571428571425E-2</v>
      </c>
      <c r="C25" s="571"/>
      <c r="D25" s="571"/>
      <c r="E25" s="571"/>
      <c r="F25" s="571"/>
      <c r="G25" s="571"/>
      <c r="H25" s="571"/>
      <c r="I25" s="571"/>
      <c r="J25" s="571"/>
      <c r="K25" s="571"/>
      <c r="L25" s="571"/>
      <c r="M25" s="571"/>
      <c r="N25" s="571"/>
      <c r="O25" s="571"/>
      <c r="P25" s="571"/>
      <c r="Q25" s="571"/>
      <c r="R25" s="571"/>
      <c r="S25" s="571"/>
      <c r="T25" s="571"/>
      <c r="U25" s="571"/>
      <c r="V25" s="571"/>
      <c r="W25" s="571"/>
      <c r="X25" s="571"/>
      <c r="Y25" s="571"/>
      <c r="Z25" s="571"/>
      <c r="AA25" s="571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  <c r="AL25" s="571"/>
      <c r="AM25" s="571"/>
      <c r="AN25" s="571"/>
      <c r="AO25" s="571"/>
      <c r="AP25" s="571"/>
      <c r="AQ25" s="571"/>
      <c r="AR25" s="571"/>
      <c r="AS25" s="571"/>
      <c r="AT25" s="571"/>
      <c r="AU25" s="571"/>
      <c r="AV25" s="571"/>
      <c r="AW25" s="571"/>
      <c r="AX25" s="571"/>
    </row>
    <row r="26" spans="1:50" x14ac:dyDescent="0.2">
      <c r="A26" t="s">
        <v>4572</v>
      </c>
      <c r="B26">
        <f>1/28</f>
        <v>3.5714285714285712E-2</v>
      </c>
      <c r="C26" s="571"/>
      <c r="D26" s="571"/>
      <c r="E26" s="571"/>
      <c r="F26" s="571"/>
      <c r="G26" s="571"/>
      <c r="H26" s="571"/>
      <c r="I26" s="571"/>
      <c r="J26" s="571"/>
      <c r="K26" s="571"/>
      <c r="L26" s="571"/>
      <c r="M26" s="571"/>
      <c r="N26" s="571"/>
      <c r="O26" s="571"/>
      <c r="P26" s="571"/>
      <c r="Q26" s="571"/>
      <c r="R26" s="571"/>
      <c r="S26" s="571"/>
      <c r="T26" s="571"/>
      <c r="U26" s="571"/>
      <c r="V26" s="571"/>
      <c r="W26" s="571"/>
      <c r="X26" s="571"/>
      <c r="Y26" s="571"/>
      <c r="Z26" s="571"/>
      <c r="AA26" s="571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  <c r="AL26" s="571"/>
      <c r="AM26" s="571"/>
      <c r="AN26" s="571"/>
      <c r="AO26" s="571"/>
      <c r="AP26" s="571"/>
      <c r="AQ26" s="571"/>
      <c r="AR26" s="571"/>
      <c r="AS26" s="571"/>
      <c r="AT26" s="571"/>
      <c r="AU26" s="571"/>
      <c r="AV26" s="571"/>
      <c r="AW26" s="571"/>
      <c r="AX26" s="571"/>
    </row>
    <row r="27" spans="1:50" x14ac:dyDescent="0.2">
      <c r="A27" t="s">
        <v>4573</v>
      </c>
      <c r="B27">
        <f>1/(7*12)</f>
        <v>1.1904761904761904E-2</v>
      </c>
      <c r="C27" s="571"/>
      <c r="D27" s="571"/>
      <c r="E27" s="571"/>
      <c r="F27" s="571"/>
      <c r="G27" s="571"/>
      <c r="H27" s="571"/>
      <c r="I27" s="571"/>
      <c r="J27" s="571"/>
      <c r="K27" s="571"/>
      <c r="L27" s="571"/>
      <c r="M27" s="571"/>
      <c r="N27" s="571"/>
      <c r="O27" s="571"/>
      <c r="P27" s="571"/>
      <c r="Q27" s="571"/>
      <c r="R27" s="571"/>
      <c r="S27" s="571"/>
      <c r="T27" s="571"/>
      <c r="U27" s="571"/>
      <c r="V27" s="571"/>
      <c r="W27" s="571"/>
      <c r="X27" s="571"/>
      <c r="Y27" s="571"/>
      <c r="Z27" s="571"/>
      <c r="AA27" s="571"/>
      <c r="AB27" s="571"/>
      <c r="AC27" s="571"/>
      <c r="AD27" s="571"/>
      <c r="AE27" s="571"/>
      <c r="AF27" s="571"/>
      <c r="AG27" s="571"/>
      <c r="AH27" s="571"/>
      <c r="AI27" s="571"/>
      <c r="AJ27" s="571"/>
      <c r="AK27" s="571"/>
      <c r="AL27" s="571"/>
      <c r="AM27" s="571"/>
      <c r="AN27" s="571"/>
      <c r="AO27" s="571"/>
      <c r="AP27" s="571"/>
      <c r="AQ27" s="571"/>
      <c r="AR27" s="571"/>
      <c r="AS27" s="571"/>
      <c r="AT27" s="571"/>
      <c r="AU27" s="571"/>
      <c r="AV27" s="571"/>
      <c r="AW27" s="571"/>
      <c r="AX27" s="571"/>
    </row>
    <row r="28" spans="1:50" x14ac:dyDescent="0.2">
      <c r="A28" t="s">
        <v>4574</v>
      </c>
      <c r="B28">
        <f>1/(7*13)</f>
        <v>1.098901098901099E-2</v>
      </c>
      <c r="C28" s="571"/>
      <c r="D28" s="571"/>
      <c r="E28" s="571"/>
      <c r="F28" s="571"/>
      <c r="G28" s="571"/>
      <c r="H28" s="571"/>
      <c r="I28" s="571"/>
      <c r="J28" s="571"/>
      <c r="K28" s="571"/>
      <c r="L28" s="571"/>
      <c r="M28" s="571"/>
      <c r="N28" s="571"/>
      <c r="O28" s="571"/>
      <c r="P28" s="571"/>
      <c r="Q28" s="571"/>
      <c r="R28" s="571"/>
      <c r="S28" s="571"/>
      <c r="T28" s="571"/>
      <c r="U28" s="571"/>
      <c r="V28" s="571"/>
      <c r="W28" s="571"/>
      <c r="X28" s="571"/>
      <c r="Y28" s="571"/>
      <c r="Z28" s="571"/>
      <c r="AA28" s="571"/>
      <c r="AB28" s="571"/>
      <c r="AC28" s="571"/>
      <c r="AD28" s="571"/>
      <c r="AE28" s="571"/>
      <c r="AF28" s="571"/>
      <c r="AG28" s="571"/>
      <c r="AH28" s="571"/>
      <c r="AI28" s="571"/>
      <c r="AJ28" s="571"/>
      <c r="AK28" s="571"/>
      <c r="AL28" s="571"/>
      <c r="AM28" s="571"/>
      <c r="AN28" s="571"/>
      <c r="AO28" s="571"/>
      <c r="AP28" s="571"/>
      <c r="AQ28" s="571"/>
      <c r="AR28" s="571"/>
      <c r="AS28" s="571"/>
      <c r="AT28" s="571"/>
      <c r="AU28" s="571"/>
      <c r="AV28" s="571"/>
      <c r="AW28" s="571"/>
      <c r="AX28" s="571"/>
    </row>
    <row r="29" spans="1:50" x14ac:dyDescent="0.2">
      <c r="A29" t="s">
        <v>4575</v>
      </c>
      <c r="B29">
        <f>1/30</f>
        <v>3.3333333333333333E-2</v>
      </c>
      <c r="C29" s="571"/>
      <c r="D29" s="571"/>
      <c r="E29" s="571"/>
      <c r="F29" s="571"/>
      <c r="G29" s="571"/>
      <c r="H29" s="571"/>
      <c r="I29" s="571"/>
      <c r="J29" s="571"/>
      <c r="K29" s="571"/>
      <c r="L29" s="571"/>
      <c r="M29" s="571"/>
      <c r="N29" s="571"/>
      <c r="O29" s="571"/>
      <c r="P29" s="571"/>
      <c r="Q29" s="571"/>
      <c r="R29" s="571"/>
      <c r="S29" s="571"/>
      <c r="T29" s="571"/>
      <c r="U29" s="571"/>
      <c r="V29" s="571"/>
      <c r="W29" s="571"/>
      <c r="X29" s="571"/>
      <c r="Y29" s="571"/>
      <c r="Z29" s="571"/>
      <c r="AA29" s="571"/>
      <c r="AB29" s="571"/>
      <c r="AC29" s="571"/>
      <c r="AD29" s="571"/>
      <c r="AE29" s="571"/>
      <c r="AF29" s="571"/>
      <c r="AG29" s="571"/>
      <c r="AH29" s="571"/>
      <c r="AI29" s="571"/>
      <c r="AJ29" s="571"/>
      <c r="AK29" s="571"/>
      <c r="AL29" s="571"/>
      <c r="AM29" s="571"/>
      <c r="AN29" s="571"/>
      <c r="AO29" s="571"/>
      <c r="AP29" s="571"/>
      <c r="AQ29" s="571"/>
      <c r="AR29" s="571"/>
      <c r="AS29" s="571"/>
      <c r="AT29" s="571"/>
      <c r="AU29" s="571"/>
      <c r="AV29" s="571"/>
      <c r="AW29" s="571"/>
      <c r="AX29" s="571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2"/>
  <sheetViews>
    <sheetView showOutlineSymbols="0" workbookViewId="0">
      <selection activeCell="D76" sqref="D76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6135</v>
      </c>
    </row>
    <row r="2" spans="1:1" x14ac:dyDescent="0.2">
      <c r="A2" t="s">
        <v>6136</v>
      </c>
    </row>
    <row r="3" spans="1:1" x14ac:dyDescent="0.2">
      <c r="A3" t="s">
        <v>6137</v>
      </c>
    </row>
    <row r="4" spans="1:1" x14ac:dyDescent="0.2">
      <c r="A4" t="s">
        <v>6138</v>
      </c>
    </row>
    <row r="5" spans="1:1" x14ac:dyDescent="0.2">
      <c r="A5" t="s">
        <v>6139</v>
      </c>
    </row>
    <row r="6" spans="1:1" x14ac:dyDescent="0.2">
      <c r="A6" t="s">
        <v>6140</v>
      </c>
    </row>
    <row r="7" spans="1:1" x14ac:dyDescent="0.2">
      <c r="A7" t="s">
        <v>6141</v>
      </c>
    </row>
    <row r="8" spans="1:1" x14ac:dyDescent="0.2">
      <c r="A8" t="s">
        <v>6142</v>
      </c>
    </row>
    <row r="9" spans="1:1" x14ac:dyDescent="0.2">
      <c r="A9" t="s">
        <v>6143</v>
      </c>
    </row>
    <row r="10" spans="1:1" x14ac:dyDescent="0.2">
      <c r="A10" t="s">
        <v>6144</v>
      </c>
    </row>
    <row r="11" spans="1:1" x14ac:dyDescent="0.2">
      <c r="A11" t="s">
        <v>6145</v>
      </c>
    </row>
    <row r="12" spans="1:1" x14ac:dyDescent="0.2">
      <c r="A12" t="s">
        <v>6146</v>
      </c>
    </row>
    <row r="13" spans="1:1" x14ac:dyDescent="0.2">
      <c r="A13" t="s">
        <v>6147</v>
      </c>
    </row>
    <row r="14" spans="1:1" x14ac:dyDescent="0.2">
      <c r="A14" t="s">
        <v>6148</v>
      </c>
    </row>
    <row r="15" spans="1:1" x14ac:dyDescent="0.2">
      <c r="A15" t="s">
        <v>6149</v>
      </c>
    </row>
    <row r="16" spans="1:1" x14ac:dyDescent="0.2">
      <c r="A16" t="s">
        <v>6150</v>
      </c>
    </row>
    <row r="17" spans="1:1" x14ac:dyDescent="0.2">
      <c r="A17" t="s">
        <v>6151</v>
      </c>
    </row>
    <row r="18" spans="1:1" x14ac:dyDescent="0.2">
      <c r="A18" t="s">
        <v>6152</v>
      </c>
    </row>
    <row r="19" spans="1:1" x14ac:dyDescent="0.2">
      <c r="A19" t="s">
        <v>6153</v>
      </c>
    </row>
    <row r="20" spans="1:1" x14ac:dyDescent="0.2">
      <c r="A20" t="s">
        <v>6154</v>
      </c>
    </row>
    <row r="21" spans="1:1" x14ac:dyDescent="0.2">
      <c r="A21" t="s">
        <v>6155</v>
      </c>
    </row>
    <row r="22" spans="1:1" x14ac:dyDescent="0.2">
      <c r="A22" t="s">
        <v>6156</v>
      </c>
    </row>
    <row r="23" spans="1:1" x14ac:dyDescent="0.2">
      <c r="A23" t="s">
        <v>6157</v>
      </c>
    </row>
    <row r="24" spans="1:1" x14ac:dyDescent="0.2">
      <c r="A24" t="s">
        <v>6158</v>
      </c>
    </row>
    <row r="25" spans="1:1" x14ac:dyDescent="0.2">
      <c r="A25" t="s">
        <v>6159</v>
      </c>
    </row>
    <row r="26" spans="1:1" x14ac:dyDescent="0.2">
      <c r="A26" t="s">
        <v>6160</v>
      </c>
    </row>
    <row r="27" spans="1:1" x14ac:dyDescent="0.2">
      <c r="A27" t="s">
        <v>6161</v>
      </c>
    </row>
    <row r="28" spans="1:1" x14ac:dyDescent="0.2">
      <c r="A28" t="s">
        <v>6162</v>
      </c>
    </row>
    <row r="29" spans="1:1" x14ac:dyDescent="0.2">
      <c r="A29" t="s">
        <v>6163</v>
      </c>
    </row>
    <row r="30" spans="1:1" x14ac:dyDescent="0.2">
      <c r="A30" t="s">
        <v>6164</v>
      </c>
    </row>
    <row r="31" spans="1:1" x14ac:dyDescent="0.2">
      <c r="A31" t="s">
        <v>6165</v>
      </c>
    </row>
    <row r="32" spans="1:1" x14ac:dyDescent="0.2">
      <c r="A32" t="s">
        <v>6166</v>
      </c>
    </row>
    <row r="33" spans="1:1" x14ac:dyDescent="0.2">
      <c r="A33" t="s">
        <v>6167</v>
      </c>
    </row>
    <row r="34" spans="1:1" x14ac:dyDescent="0.2">
      <c r="A34" t="s">
        <v>6168</v>
      </c>
    </row>
    <row r="35" spans="1:1" x14ac:dyDescent="0.2">
      <c r="A35" t="s">
        <v>6169</v>
      </c>
    </row>
    <row r="36" spans="1:1" x14ac:dyDescent="0.2">
      <c r="A36" t="s">
        <v>6170</v>
      </c>
    </row>
    <row r="37" spans="1:1" x14ac:dyDescent="0.2">
      <c r="A37" t="s">
        <v>6171</v>
      </c>
    </row>
    <row r="38" spans="1:1" x14ac:dyDescent="0.2">
      <c r="A38" t="s">
        <v>6172</v>
      </c>
    </row>
    <row r="39" spans="1:1" x14ac:dyDescent="0.2">
      <c r="A39" t="s">
        <v>6173</v>
      </c>
    </row>
    <row r="40" spans="1:1" x14ac:dyDescent="0.2">
      <c r="A40" t="s">
        <v>6174</v>
      </c>
    </row>
    <row r="41" spans="1:1" x14ac:dyDescent="0.2">
      <c r="A41" t="s">
        <v>6175</v>
      </c>
    </row>
    <row r="42" spans="1:1" x14ac:dyDescent="0.2">
      <c r="A42" t="s">
        <v>6176</v>
      </c>
    </row>
    <row r="43" spans="1:1" x14ac:dyDescent="0.2">
      <c r="A43" t="s">
        <v>6177</v>
      </c>
    </row>
    <row r="44" spans="1:1" x14ac:dyDescent="0.2">
      <c r="A44" t="s">
        <v>6178</v>
      </c>
    </row>
    <row r="45" spans="1:1" x14ac:dyDescent="0.2">
      <c r="A45" t="s">
        <v>6179</v>
      </c>
    </row>
    <row r="46" spans="1:1" x14ac:dyDescent="0.2">
      <c r="A46" t="s">
        <v>6180</v>
      </c>
    </row>
    <row r="47" spans="1:1" x14ac:dyDescent="0.2">
      <c r="A47" t="s">
        <v>6181</v>
      </c>
    </row>
    <row r="48" spans="1:1" x14ac:dyDescent="0.2">
      <c r="A48" t="s">
        <v>6182</v>
      </c>
    </row>
    <row r="49" spans="1:1" x14ac:dyDescent="0.2">
      <c r="A49" t="s">
        <v>6183</v>
      </c>
    </row>
    <row r="50" spans="1:1" x14ac:dyDescent="0.2">
      <c r="A50" t="s">
        <v>6184</v>
      </c>
    </row>
    <row r="51" spans="1:1" x14ac:dyDescent="0.2">
      <c r="A51" t="s">
        <v>6185</v>
      </c>
    </row>
    <row r="52" spans="1:1" x14ac:dyDescent="0.2">
      <c r="A52" t="s">
        <v>6186</v>
      </c>
    </row>
    <row r="53" spans="1:1" x14ac:dyDescent="0.2">
      <c r="A53" t="s">
        <v>6187</v>
      </c>
    </row>
    <row r="54" spans="1:1" x14ac:dyDescent="0.2">
      <c r="A54" t="s">
        <v>6188</v>
      </c>
    </row>
    <row r="55" spans="1:1" x14ac:dyDescent="0.2">
      <c r="A55" t="s">
        <v>6189</v>
      </c>
    </row>
    <row r="56" spans="1:1" x14ac:dyDescent="0.2">
      <c r="A56" t="s">
        <v>6190</v>
      </c>
    </row>
    <row r="57" spans="1:1" x14ac:dyDescent="0.2">
      <c r="A57" t="s">
        <v>6191</v>
      </c>
    </row>
    <row r="58" spans="1:1" x14ac:dyDescent="0.2">
      <c r="A58" t="s">
        <v>6192</v>
      </c>
    </row>
    <row r="59" spans="1:1" x14ac:dyDescent="0.2">
      <c r="A59" t="s">
        <v>6193</v>
      </c>
    </row>
    <row r="60" spans="1:1" x14ac:dyDescent="0.2">
      <c r="A60" t="s">
        <v>6194</v>
      </c>
    </row>
    <row r="61" spans="1:1" x14ac:dyDescent="0.2">
      <c r="A61" t="s">
        <v>6195</v>
      </c>
    </row>
    <row r="62" spans="1:1" x14ac:dyDescent="0.2">
      <c r="A62" t="s">
        <v>6196</v>
      </c>
    </row>
    <row r="63" spans="1:1" x14ac:dyDescent="0.2">
      <c r="A63" t="s">
        <v>6197</v>
      </c>
    </row>
    <row r="64" spans="1:1" x14ac:dyDescent="0.2">
      <c r="A64" t="s">
        <v>6198</v>
      </c>
    </row>
    <row r="65" spans="1:1" x14ac:dyDescent="0.2">
      <c r="A65" t="s">
        <v>6199</v>
      </c>
    </row>
    <row r="66" spans="1:1" x14ac:dyDescent="0.2">
      <c r="A66" t="s">
        <v>6200</v>
      </c>
    </row>
    <row r="67" spans="1:1" x14ac:dyDescent="0.2">
      <c r="A67" t="s">
        <v>6201</v>
      </c>
    </row>
    <row r="68" spans="1:1" x14ac:dyDescent="0.2">
      <c r="A68" t="s">
        <v>6202</v>
      </c>
    </row>
    <row r="69" spans="1:1" x14ac:dyDescent="0.2">
      <c r="A69" t="s">
        <v>6203</v>
      </c>
    </row>
    <row r="70" spans="1:1" x14ac:dyDescent="0.2">
      <c r="A70" t="s">
        <v>6204</v>
      </c>
    </row>
    <row r="71" spans="1:1" x14ac:dyDescent="0.2">
      <c r="A71" t="s">
        <v>6205</v>
      </c>
    </row>
    <row r="72" spans="1:1" x14ac:dyDescent="0.2">
      <c r="A72" t="s">
        <v>6206</v>
      </c>
    </row>
    <row r="73" spans="1:1" x14ac:dyDescent="0.2">
      <c r="A73" t="s">
        <v>6207</v>
      </c>
    </row>
    <row r="74" spans="1:1" x14ac:dyDescent="0.2">
      <c r="A74" t="s">
        <v>6208</v>
      </c>
    </row>
    <row r="75" spans="1:1" x14ac:dyDescent="0.2">
      <c r="A75" t="s">
        <v>6209</v>
      </c>
    </row>
    <row r="76" spans="1:1" x14ac:dyDescent="0.2">
      <c r="A76" t="s">
        <v>6210</v>
      </c>
    </row>
    <row r="77" spans="1:1" x14ac:dyDescent="0.2">
      <c r="A77" t="s">
        <v>6211</v>
      </c>
    </row>
    <row r="78" spans="1:1" x14ac:dyDescent="0.2">
      <c r="A78" t="s">
        <v>6212</v>
      </c>
    </row>
    <row r="79" spans="1:1" x14ac:dyDescent="0.2">
      <c r="A79" t="s">
        <v>6213</v>
      </c>
    </row>
    <row r="80" spans="1:1" x14ac:dyDescent="0.2">
      <c r="A80" t="s">
        <v>6214</v>
      </c>
    </row>
    <row r="81" spans="1:1" x14ac:dyDescent="0.2">
      <c r="A81" t="s">
        <v>6215</v>
      </c>
    </row>
    <row r="82" spans="1:1" x14ac:dyDescent="0.2">
      <c r="A82" t="s">
        <v>6216</v>
      </c>
    </row>
    <row r="83" spans="1:1" x14ac:dyDescent="0.2">
      <c r="A83" t="s">
        <v>6217</v>
      </c>
    </row>
    <row r="84" spans="1:1" x14ac:dyDescent="0.2">
      <c r="A84" t="s">
        <v>6218</v>
      </c>
    </row>
    <row r="85" spans="1:1" x14ac:dyDescent="0.2">
      <c r="A85" t="s">
        <v>6219</v>
      </c>
    </row>
    <row r="86" spans="1:1" x14ac:dyDescent="0.2">
      <c r="A86" t="s">
        <v>6220</v>
      </c>
    </row>
    <row r="87" spans="1:1" x14ac:dyDescent="0.2">
      <c r="A87" t="s">
        <v>6221</v>
      </c>
    </row>
    <row r="88" spans="1:1" x14ac:dyDescent="0.2">
      <c r="A88" t="s">
        <v>6222</v>
      </c>
    </row>
    <row r="89" spans="1:1" x14ac:dyDescent="0.2">
      <c r="A89" t="s">
        <v>6223</v>
      </c>
    </row>
    <row r="90" spans="1:1" x14ac:dyDescent="0.2">
      <c r="A90" t="s">
        <v>6224</v>
      </c>
    </row>
    <row r="91" spans="1:1" x14ac:dyDescent="0.2">
      <c r="A91" t="s">
        <v>6225</v>
      </c>
    </row>
    <row r="92" spans="1:1" x14ac:dyDescent="0.2">
      <c r="A92" t="s">
        <v>6226</v>
      </c>
    </row>
    <row r="93" spans="1:1" x14ac:dyDescent="0.2">
      <c r="A93" t="s">
        <v>6227</v>
      </c>
    </row>
    <row r="94" spans="1:1" x14ac:dyDescent="0.2">
      <c r="A94" t="s">
        <v>6228</v>
      </c>
    </row>
    <row r="95" spans="1:1" x14ac:dyDescent="0.2">
      <c r="A95" t="s">
        <v>6229</v>
      </c>
    </row>
    <row r="96" spans="1:1" x14ac:dyDescent="0.2">
      <c r="A96" t="s">
        <v>6230</v>
      </c>
    </row>
    <row r="97" spans="1:1" x14ac:dyDescent="0.2">
      <c r="A97" t="s">
        <v>6231</v>
      </c>
    </row>
    <row r="98" spans="1:1" x14ac:dyDescent="0.2">
      <c r="A98" t="s">
        <v>6232</v>
      </c>
    </row>
    <row r="99" spans="1:1" x14ac:dyDescent="0.2">
      <c r="A99" t="s">
        <v>6233</v>
      </c>
    </row>
    <row r="100" spans="1:1" x14ac:dyDescent="0.2">
      <c r="A100" t="s">
        <v>6234</v>
      </c>
    </row>
    <row r="101" spans="1:1" x14ac:dyDescent="0.2">
      <c r="A101" t="s">
        <v>6235</v>
      </c>
    </row>
    <row r="102" spans="1:1" x14ac:dyDescent="0.2">
      <c r="A102" t="s">
        <v>6236</v>
      </c>
    </row>
    <row r="103" spans="1:1" x14ac:dyDescent="0.2">
      <c r="A103" t="s">
        <v>6237</v>
      </c>
    </row>
    <row r="104" spans="1:1" x14ac:dyDescent="0.2">
      <c r="A104" t="s">
        <v>6238</v>
      </c>
    </row>
    <row r="105" spans="1:1" x14ac:dyDescent="0.2">
      <c r="A105" t="s">
        <v>6239</v>
      </c>
    </row>
    <row r="106" spans="1:1" x14ac:dyDescent="0.2">
      <c r="A106" t="s">
        <v>6240</v>
      </c>
    </row>
    <row r="107" spans="1:1" x14ac:dyDescent="0.2">
      <c r="A107" t="s">
        <v>6241</v>
      </c>
    </row>
    <row r="108" spans="1:1" x14ac:dyDescent="0.2">
      <c r="A108" t="s">
        <v>6242</v>
      </c>
    </row>
    <row r="109" spans="1:1" x14ac:dyDescent="0.2">
      <c r="A109" t="s">
        <v>6243</v>
      </c>
    </row>
    <row r="110" spans="1:1" x14ac:dyDescent="0.2">
      <c r="A110" t="s">
        <v>6244</v>
      </c>
    </row>
    <row r="111" spans="1:1" x14ac:dyDescent="0.2">
      <c r="A111" t="s">
        <v>6245</v>
      </c>
    </row>
    <row r="112" spans="1:1" x14ac:dyDescent="0.2">
      <c r="A112" t="s">
        <v>6246</v>
      </c>
    </row>
    <row r="113" spans="1:1" x14ac:dyDescent="0.2">
      <c r="A113" t="s">
        <v>6247</v>
      </c>
    </row>
    <row r="114" spans="1:1" x14ac:dyDescent="0.2">
      <c r="A114" t="s">
        <v>6248</v>
      </c>
    </row>
    <row r="115" spans="1:1" x14ac:dyDescent="0.2">
      <c r="A115" t="s">
        <v>6249</v>
      </c>
    </row>
    <row r="116" spans="1:1" x14ac:dyDescent="0.2">
      <c r="A116" t="s">
        <v>6250</v>
      </c>
    </row>
    <row r="117" spans="1:1" x14ac:dyDescent="0.2">
      <c r="A117" t="s">
        <v>6251</v>
      </c>
    </row>
    <row r="118" spans="1:1" x14ac:dyDescent="0.2">
      <c r="A118" t="s">
        <v>6252</v>
      </c>
    </row>
    <row r="119" spans="1:1" x14ac:dyDescent="0.2">
      <c r="A119" t="s">
        <v>6253</v>
      </c>
    </row>
    <row r="120" spans="1:1" x14ac:dyDescent="0.2">
      <c r="A120" t="s">
        <v>6254</v>
      </c>
    </row>
    <row r="121" spans="1:1" x14ac:dyDescent="0.2">
      <c r="A121" t="s">
        <v>6255</v>
      </c>
    </row>
    <row r="122" spans="1:1" x14ac:dyDescent="0.2">
      <c r="A122" t="s">
        <v>6256</v>
      </c>
    </row>
    <row r="123" spans="1:1" x14ac:dyDescent="0.2">
      <c r="A123" t="s">
        <v>6257</v>
      </c>
    </row>
    <row r="124" spans="1:1" x14ac:dyDescent="0.2">
      <c r="A124" t="s">
        <v>6258</v>
      </c>
    </row>
    <row r="125" spans="1:1" x14ac:dyDescent="0.2">
      <c r="A125" t="s">
        <v>6259</v>
      </c>
    </row>
    <row r="126" spans="1:1" x14ac:dyDescent="0.2">
      <c r="A126" t="s">
        <v>6260</v>
      </c>
    </row>
    <row r="127" spans="1:1" x14ac:dyDescent="0.2">
      <c r="A127" t="s">
        <v>6261</v>
      </c>
    </row>
    <row r="128" spans="1:1" x14ac:dyDescent="0.2">
      <c r="A128" t="s">
        <v>6262</v>
      </c>
    </row>
    <row r="129" spans="1:1" x14ac:dyDescent="0.2">
      <c r="A129" t="s">
        <v>6263</v>
      </c>
    </row>
    <row r="130" spans="1:1" x14ac:dyDescent="0.2">
      <c r="A130" t="s">
        <v>6264</v>
      </c>
    </row>
    <row r="131" spans="1:1" x14ac:dyDescent="0.2">
      <c r="A131" t="s">
        <v>6265</v>
      </c>
    </row>
    <row r="132" spans="1:1" x14ac:dyDescent="0.2">
      <c r="A132" t="s">
        <v>6266</v>
      </c>
    </row>
    <row r="133" spans="1:1" x14ac:dyDescent="0.2">
      <c r="A133" t="s">
        <v>6267</v>
      </c>
    </row>
    <row r="134" spans="1:1" x14ac:dyDescent="0.2">
      <c r="A134" t="s">
        <v>6268</v>
      </c>
    </row>
    <row r="135" spans="1:1" x14ac:dyDescent="0.2">
      <c r="A135" t="s">
        <v>6269</v>
      </c>
    </row>
    <row r="136" spans="1:1" x14ac:dyDescent="0.2">
      <c r="A136" t="s">
        <v>6270</v>
      </c>
    </row>
    <row r="137" spans="1:1" x14ac:dyDescent="0.2">
      <c r="A137" t="s">
        <v>6271</v>
      </c>
    </row>
    <row r="138" spans="1:1" x14ac:dyDescent="0.2">
      <c r="A138" t="s">
        <v>6272</v>
      </c>
    </row>
    <row r="139" spans="1:1" x14ac:dyDescent="0.2">
      <c r="A139" t="s">
        <v>6273</v>
      </c>
    </row>
    <row r="140" spans="1:1" x14ac:dyDescent="0.2">
      <c r="A140" t="s">
        <v>6274</v>
      </c>
    </row>
    <row r="141" spans="1:1" x14ac:dyDescent="0.2">
      <c r="A141" t="s">
        <v>6275</v>
      </c>
    </row>
    <row r="142" spans="1:1" x14ac:dyDescent="0.2">
      <c r="A142" t="s">
        <v>6276</v>
      </c>
    </row>
    <row r="143" spans="1:1" x14ac:dyDescent="0.2">
      <c r="A143" t="s">
        <v>6277</v>
      </c>
    </row>
    <row r="144" spans="1:1" x14ac:dyDescent="0.2">
      <c r="A144" t="s">
        <v>6278</v>
      </c>
    </row>
    <row r="145" spans="1:1" x14ac:dyDescent="0.2">
      <c r="A145" t="s">
        <v>6279</v>
      </c>
    </row>
    <row r="146" spans="1:1" x14ac:dyDescent="0.2">
      <c r="A146" t="s">
        <v>6280</v>
      </c>
    </row>
    <row r="147" spans="1:1" x14ac:dyDescent="0.2">
      <c r="A147" t="s">
        <v>6281</v>
      </c>
    </row>
    <row r="148" spans="1:1" x14ac:dyDescent="0.2">
      <c r="A148" t="s">
        <v>6282</v>
      </c>
    </row>
    <row r="149" spans="1:1" x14ac:dyDescent="0.2">
      <c r="A149" t="s">
        <v>6283</v>
      </c>
    </row>
    <row r="150" spans="1:1" x14ac:dyDescent="0.2">
      <c r="A150" t="s">
        <v>6284</v>
      </c>
    </row>
    <row r="151" spans="1:1" x14ac:dyDescent="0.2">
      <c r="A151" t="s">
        <v>6285</v>
      </c>
    </row>
    <row r="152" spans="1:1" x14ac:dyDescent="0.2">
      <c r="A152" t="s">
        <v>6286</v>
      </c>
    </row>
    <row r="153" spans="1:1" x14ac:dyDescent="0.2">
      <c r="A153" t="s">
        <v>6287</v>
      </c>
    </row>
    <row r="154" spans="1:1" x14ac:dyDescent="0.2">
      <c r="A154" t="s">
        <v>6288</v>
      </c>
    </row>
    <row r="155" spans="1:1" x14ac:dyDescent="0.2">
      <c r="A155" t="s">
        <v>6289</v>
      </c>
    </row>
    <row r="156" spans="1:1" x14ac:dyDescent="0.2">
      <c r="A156" t="s">
        <v>6290</v>
      </c>
    </row>
    <row r="157" spans="1:1" x14ac:dyDescent="0.2">
      <c r="A157" t="s">
        <v>6291</v>
      </c>
    </row>
    <row r="158" spans="1:1" x14ac:dyDescent="0.2">
      <c r="A158" t="s">
        <v>6292</v>
      </c>
    </row>
    <row r="159" spans="1:1" x14ac:dyDescent="0.2">
      <c r="A159" t="s">
        <v>6293</v>
      </c>
    </row>
    <row r="160" spans="1:1" x14ac:dyDescent="0.2">
      <c r="A160" t="s">
        <v>6294</v>
      </c>
    </row>
    <row r="161" spans="1:1" x14ac:dyDescent="0.2">
      <c r="A161" t="s">
        <v>6295</v>
      </c>
    </row>
    <row r="162" spans="1:1" x14ac:dyDescent="0.2">
      <c r="A162" t="s">
        <v>6296</v>
      </c>
    </row>
    <row r="163" spans="1:1" x14ac:dyDescent="0.2">
      <c r="A163" t="s">
        <v>6297</v>
      </c>
    </row>
    <row r="164" spans="1:1" x14ac:dyDescent="0.2">
      <c r="A164" t="s">
        <v>6298</v>
      </c>
    </row>
    <row r="165" spans="1:1" x14ac:dyDescent="0.2">
      <c r="A165" t="s">
        <v>6299</v>
      </c>
    </row>
    <row r="166" spans="1:1" x14ac:dyDescent="0.2">
      <c r="A166" t="s">
        <v>6300</v>
      </c>
    </row>
    <row r="167" spans="1:1" x14ac:dyDescent="0.2">
      <c r="A167" t="s">
        <v>6301</v>
      </c>
    </row>
    <row r="168" spans="1:1" x14ac:dyDescent="0.2">
      <c r="A168" t="s">
        <v>6302</v>
      </c>
    </row>
    <row r="169" spans="1:1" x14ac:dyDescent="0.2">
      <c r="A169" t="s">
        <v>6303</v>
      </c>
    </row>
    <row r="170" spans="1:1" x14ac:dyDescent="0.2">
      <c r="A170" t="s">
        <v>6304</v>
      </c>
    </row>
    <row r="171" spans="1:1" x14ac:dyDescent="0.2">
      <c r="A171" t="s">
        <v>6305</v>
      </c>
    </row>
    <row r="172" spans="1:1" x14ac:dyDescent="0.2">
      <c r="A172" t="s">
        <v>6306</v>
      </c>
    </row>
    <row r="173" spans="1:1" x14ac:dyDescent="0.2">
      <c r="A173" t="s">
        <v>6307</v>
      </c>
    </row>
    <row r="174" spans="1:1" x14ac:dyDescent="0.2">
      <c r="A174" t="s">
        <v>6308</v>
      </c>
    </row>
    <row r="175" spans="1:1" x14ac:dyDescent="0.2">
      <c r="A175" t="s">
        <v>6309</v>
      </c>
    </row>
    <row r="176" spans="1:1" x14ac:dyDescent="0.2">
      <c r="A176" t="s">
        <v>6310</v>
      </c>
    </row>
    <row r="177" spans="1:1" x14ac:dyDescent="0.2">
      <c r="A177" t="s">
        <v>6311</v>
      </c>
    </row>
    <row r="178" spans="1:1" x14ac:dyDescent="0.2">
      <c r="A178" t="s">
        <v>6312</v>
      </c>
    </row>
    <row r="179" spans="1:1" x14ac:dyDescent="0.2">
      <c r="A179" t="s">
        <v>6313</v>
      </c>
    </row>
    <row r="180" spans="1:1" x14ac:dyDescent="0.2">
      <c r="A180" t="s">
        <v>6314</v>
      </c>
    </row>
    <row r="181" spans="1:1" x14ac:dyDescent="0.2">
      <c r="A181" t="s">
        <v>6315</v>
      </c>
    </row>
    <row r="182" spans="1:1" x14ac:dyDescent="0.2">
      <c r="A182" t="s">
        <v>6316</v>
      </c>
    </row>
    <row r="183" spans="1:1" x14ac:dyDescent="0.2">
      <c r="A183" t="s">
        <v>6317</v>
      </c>
    </row>
    <row r="184" spans="1:1" x14ac:dyDescent="0.2">
      <c r="A184" t="s">
        <v>6318</v>
      </c>
    </row>
    <row r="185" spans="1:1" x14ac:dyDescent="0.2">
      <c r="A185" t="s">
        <v>6319</v>
      </c>
    </row>
    <row r="186" spans="1:1" x14ac:dyDescent="0.2">
      <c r="A186" t="s">
        <v>6320</v>
      </c>
    </row>
    <row r="187" spans="1:1" x14ac:dyDescent="0.2">
      <c r="A187" t="s">
        <v>6321</v>
      </c>
    </row>
    <row r="188" spans="1:1" x14ac:dyDescent="0.2">
      <c r="A188" t="s">
        <v>6322</v>
      </c>
    </row>
    <row r="189" spans="1:1" x14ac:dyDescent="0.2">
      <c r="A189" t="s">
        <v>6323</v>
      </c>
    </row>
    <row r="190" spans="1:1" x14ac:dyDescent="0.2">
      <c r="A190" t="s">
        <v>6324</v>
      </c>
    </row>
    <row r="191" spans="1:1" x14ac:dyDescent="0.2">
      <c r="A191" t="s">
        <v>6325</v>
      </c>
    </row>
    <row r="192" spans="1:1" x14ac:dyDescent="0.2">
      <c r="A192" t="s">
        <v>6326</v>
      </c>
    </row>
    <row r="193" spans="1:1" x14ac:dyDescent="0.2">
      <c r="A193" t="s">
        <v>6327</v>
      </c>
    </row>
    <row r="194" spans="1:1" x14ac:dyDescent="0.2">
      <c r="A194" t="s">
        <v>6328</v>
      </c>
    </row>
    <row r="195" spans="1:1" x14ac:dyDescent="0.2">
      <c r="A195" t="s">
        <v>6329</v>
      </c>
    </row>
    <row r="196" spans="1:1" x14ac:dyDescent="0.2">
      <c r="A196" t="s">
        <v>6330</v>
      </c>
    </row>
    <row r="197" spans="1:1" x14ac:dyDescent="0.2">
      <c r="A197" t="s">
        <v>6331</v>
      </c>
    </row>
    <row r="198" spans="1:1" x14ac:dyDescent="0.2">
      <c r="A198" t="s">
        <v>6332</v>
      </c>
    </row>
    <row r="199" spans="1:1" x14ac:dyDescent="0.2">
      <c r="A199" t="s">
        <v>6333</v>
      </c>
    </row>
    <row r="200" spans="1:1" x14ac:dyDescent="0.2">
      <c r="A200" t="s">
        <v>6334</v>
      </c>
    </row>
    <row r="201" spans="1:1" x14ac:dyDescent="0.2">
      <c r="A201" t="s">
        <v>6335</v>
      </c>
    </row>
    <row r="202" spans="1:1" x14ac:dyDescent="0.2">
      <c r="A202" t="s">
        <v>6336</v>
      </c>
    </row>
    <row r="203" spans="1:1" x14ac:dyDescent="0.2">
      <c r="A203" t="s">
        <v>6337</v>
      </c>
    </row>
    <row r="204" spans="1:1" x14ac:dyDescent="0.2">
      <c r="A204" t="s">
        <v>6338</v>
      </c>
    </row>
    <row r="205" spans="1:1" x14ac:dyDescent="0.2">
      <c r="A205" t="s">
        <v>6339</v>
      </c>
    </row>
    <row r="206" spans="1:1" x14ac:dyDescent="0.2">
      <c r="A206" t="s">
        <v>6340</v>
      </c>
    </row>
    <row r="207" spans="1:1" x14ac:dyDescent="0.2">
      <c r="A207" t="s">
        <v>6341</v>
      </c>
    </row>
    <row r="208" spans="1:1" x14ac:dyDescent="0.2">
      <c r="A208" t="s">
        <v>6342</v>
      </c>
    </row>
    <row r="209" spans="1:1" x14ac:dyDescent="0.2">
      <c r="A209" t="s">
        <v>6343</v>
      </c>
    </row>
    <row r="210" spans="1:1" x14ac:dyDescent="0.2">
      <c r="A210" t="s">
        <v>6344</v>
      </c>
    </row>
    <row r="211" spans="1:1" x14ac:dyDescent="0.2">
      <c r="A211" t="s">
        <v>6345</v>
      </c>
    </row>
    <row r="212" spans="1:1" x14ac:dyDescent="0.2">
      <c r="A212" t="s">
        <v>6346</v>
      </c>
    </row>
    <row r="213" spans="1:1" x14ac:dyDescent="0.2">
      <c r="A213" t="s">
        <v>6347</v>
      </c>
    </row>
    <row r="214" spans="1:1" x14ac:dyDescent="0.2">
      <c r="A214" t="s">
        <v>6348</v>
      </c>
    </row>
    <row r="215" spans="1:1" x14ac:dyDescent="0.2">
      <c r="A215" t="s">
        <v>6349</v>
      </c>
    </row>
    <row r="216" spans="1:1" x14ac:dyDescent="0.2">
      <c r="A216" t="s">
        <v>6350</v>
      </c>
    </row>
    <row r="217" spans="1:1" x14ac:dyDescent="0.2">
      <c r="A217" t="s">
        <v>6351</v>
      </c>
    </row>
    <row r="218" spans="1:1" x14ac:dyDescent="0.2">
      <c r="A218" t="s">
        <v>6352</v>
      </c>
    </row>
    <row r="219" spans="1:1" x14ac:dyDescent="0.2">
      <c r="A219" t="s">
        <v>6353</v>
      </c>
    </row>
    <row r="220" spans="1:1" x14ac:dyDescent="0.2">
      <c r="A220" t="s">
        <v>6354</v>
      </c>
    </row>
    <row r="221" spans="1:1" x14ac:dyDescent="0.2">
      <c r="A221" t="s">
        <v>6355</v>
      </c>
    </row>
    <row r="222" spans="1:1" x14ac:dyDescent="0.2">
      <c r="A222" t="s">
        <v>6356</v>
      </c>
    </row>
    <row r="223" spans="1:1" x14ac:dyDescent="0.2">
      <c r="A223" t="s">
        <v>6357</v>
      </c>
    </row>
    <row r="224" spans="1:1" x14ac:dyDescent="0.2">
      <c r="A224" t="s">
        <v>6358</v>
      </c>
    </row>
    <row r="225" spans="1:1" x14ac:dyDescent="0.2">
      <c r="A225" t="s">
        <v>6359</v>
      </c>
    </row>
    <row r="226" spans="1:1" x14ac:dyDescent="0.2">
      <c r="A226" t="s">
        <v>6360</v>
      </c>
    </row>
    <row r="227" spans="1:1" x14ac:dyDescent="0.2">
      <c r="A227" t="s">
        <v>6361</v>
      </c>
    </row>
    <row r="228" spans="1:1" x14ac:dyDescent="0.2">
      <c r="A228" t="s">
        <v>6362</v>
      </c>
    </row>
    <row r="229" spans="1:1" x14ac:dyDescent="0.2">
      <c r="A229" t="s">
        <v>6363</v>
      </c>
    </row>
    <row r="230" spans="1:1" x14ac:dyDescent="0.2">
      <c r="A230" t="s">
        <v>6364</v>
      </c>
    </row>
    <row r="231" spans="1:1" x14ac:dyDescent="0.2">
      <c r="A231" t="s">
        <v>6365</v>
      </c>
    </row>
    <row r="232" spans="1:1" x14ac:dyDescent="0.2">
      <c r="A232" t="s">
        <v>6366</v>
      </c>
    </row>
    <row r="233" spans="1:1" x14ac:dyDescent="0.2">
      <c r="A233" t="s">
        <v>6367</v>
      </c>
    </row>
    <row r="234" spans="1:1" x14ac:dyDescent="0.2">
      <c r="A234" t="s">
        <v>6368</v>
      </c>
    </row>
    <row r="235" spans="1:1" x14ac:dyDescent="0.2">
      <c r="A235" t="s">
        <v>6369</v>
      </c>
    </row>
    <row r="236" spans="1:1" x14ac:dyDescent="0.2">
      <c r="A236" t="s">
        <v>6370</v>
      </c>
    </row>
    <row r="237" spans="1:1" x14ac:dyDescent="0.2">
      <c r="A237" t="s">
        <v>6371</v>
      </c>
    </row>
    <row r="238" spans="1:1" x14ac:dyDescent="0.2">
      <c r="A238" t="s">
        <v>6372</v>
      </c>
    </row>
    <row r="239" spans="1:1" x14ac:dyDescent="0.2">
      <c r="A239" t="s">
        <v>6373</v>
      </c>
    </row>
    <row r="240" spans="1:1" x14ac:dyDescent="0.2">
      <c r="A240" t="s">
        <v>6374</v>
      </c>
    </row>
    <row r="241" spans="1:1" x14ac:dyDescent="0.2">
      <c r="A241" t="s">
        <v>6375</v>
      </c>
    </row>
    <row r="242" spans="1:1" x14ac:dyDescent="0.2">
      <c r="A242" t="s">
        <v>6376</v>
      </c>
    </row>
    <row r="243" spans="1:1" x14ac:dyDescent="0.2">
      <c r="A243" t="s">
        <v>6377</v>
      </c>
    </row>
    <row r="244" spans="1:1" x14ac:dyDescent="0.2">
      <c r="A244" t="s">
        <v>6378</v>
      </c>
    </row>
    <row r="245" spans="1:1" x14ac:dyDescent="0.2">
      <c r="A245" t="s">
        <v>6379</v>
      </c>
    </row>
    <row r="246" spans="1:1" x14ac:dyDescent="0.2">
      <c r="A246" t="s">
        <v>6380</v>
      </c>
    </row>
    <row r="247" spans="1:1" x14ac:dyDescent="0.2">
      <c r="A247" t="s">
        <v>6381</v>
      </c>
    </row>
    <row r="248" spans="1:1" x14ac:dyDescent="0.2">
      <c r="A248" t="s">
        <v>6382</v>
      </c>
    </row>
    <row r="249" spans="1:1" x14ac:dyDescent="0.2">
      <c r="A249" t="s">
        <v>6383</v>
      </c>
    </row>
    <row r="250" spans="1:1" x14ac:dyDescent="0.2">
      <c r="A250" t="s">
        <v>6384</v>
      </c>
    </row>
    <row r="251" spans="1:1" x14ac:dyDescent="0.2">
      <c r="A251" t="s">
        <v>6385</v>
      </c>
    </row>
    <row r="252" spans="1:1" x14ac:dyDescent="0.2">
      <c r="A252" t="s">
        <v>6386</v>
      </c>
    </row>
    <row r="253" spans="1:1" x14ac:dyDescent="0.2">
      <c r="A253" t="s">
        <v>6387</v>
      </c>
    </row>
    <row r="254" spans="1:1" x14ac:dyDescent="0.2">
      <c r="A254" t="s">
        <v>6388</v>
      </c>
    </row>
    <row r="255" spans="1:1" x14ac:dyDescent="0.2">
      <c r="A255" t="s">
        <v>6389</v>
      </c>
    </row>
    <row r="256" spans="1:1" x14ac:dyDescent="0.2">
      <c r="A256" t="s">
        <v>6390</v>
      </c>
    </row>
    <row r="257" spans="1:1" x14ac:dyDescent="0.2">
      <c r="A257" t="s">
        <v>6391</v>
      </c>
    </row>
    <row r="258" spans="1:1" x14ac:dyDescent="0.2">
      <c r="A258" t="s">
        <v>6392</v>
      </c>
    </row>
    <row r="259" spans="1:1" x14ac:dyDescent="0.2">
      <c r="A259" t="s">
        <v>6393</v>
      </c>
    </row>
    <row r="260" spans="1:1" x14ac:dyDescent="0.2">
      <c r="A260" t="s">
        <v>6394</v>
      </c>
    </row>
    <row r="261" spans="1:1" x14ac:dyDescent="0.2">
      <c r="A261" t="s">
        <v>6395</v>
      </c>
    </row>
    <row r="262" spans="1:1" x14ac:dyDescent="0.2">
      <c r="A262" t="s">
        <v>6396</v>
      </c>
    </row>
    <row r="263" spans="1:1" x14ac:dyDescent="0.2">
      <c r="A263" t="s">
        <v>6397</v>
      </c>
    </row>
    <row r="264" spans="1:1" x14ac:dyDescent="0.2">
      <c r="A264" t="s">
        <v>6398</v>
      </c>
    </row>
    <row r="265" spans="1:1" x14ac:dyDescent="0.2">
      <c r="A265" t="s">
        <v>6399</v>
      </c>
    </row>
    <row r="266" spans="1:1" x14ac:dyDescent="0.2">
      <c r="A266" t="s">
        <v>6400</v>
      </c>
    </row>
    <row r="267" spans="1:1" x14ac:dyDescent="0.2">
      <c r="A267" t="s">
        <v>6401</v>
      </c>
    </row>
    <row r="268" spans="1:1" x14ac:dyDescent="0.2">
      <c r="A268" t="s">
        <v>6402</v>
      </c>
    </row>
    <row r="269" spans="1:1" x14ac:dyDescent="0.2">
      <c r="A269" t="s">
        <v>6403</v>
      </c>
    </row>
    <row r="270" spans="1:1" x14ac:dyDescent="0.2">
      <c r="A270" t="s">
        <v>6404</v>
      </c>
    </row>
    <row r="271" spans="1:1" x14ac:dyDescent="0.2">
      <c r="A271" t="s">
        <v>6405</v>
      </c>
    </row>
    <row r="272" spans="1:1" x14ac:dyDescent="0.2">
      <c r="A272" t="s">
        <v>6406</v>
      </c>
    </row>
    <row r="273" spans="1:1" x14ac:dyDescent="0.2">
      <c r="A273" t="s">
        <v>6407</v>
      </c>
    </row>
    <row r="274" spans="1:1" x14ac:dyDescent="0.2">
      <c r="A274" t="s">
        <v>6408</v>
      </c>
    </row>
    <row r="275" spans="1:1" x14ac:dyDescent="0.2">
      <c r="A275" t="s">
        <v>6409</v>
      </c>
    </row>
    <row r="276" spans="1:1" x14ac:dyDescent="0.2">
      <c r="A276" t="s">
        <v>6410</v>
      </c>
    </row>
    <row r="277" spans="1:1" x14ac:dyDescent="0.2">
      <c r="A277" t="s">
        <v>6411</v>
      </c>
    </row>
    <row r="278" spans="1:1" x14ac:dyDescent="0.2">
      <c r="A278" t="s">
        <v>6412</v>
      </c>
    </row>
    <row r="279" spans="1:1" x14ac:dyDescent="0.2">
      <c r="A279" t="s">
        <v>6413</v>
      </c>
    </row>
    <row r="280" spans="1:1" x14ac:dyDescent="0.2">
      <c r="A280" t="s">
        <v>6414</v>
      </c>
    </row>
    <row r="281" spans="1:1" x14ac:dyDescent="0.2">
      <c r="A281" t="s">
        <v>6415</v>
      </c>
    </row>
    <row r="282" spans="1:1" x14ac:dyDescent="0.2">
      <c r="A282" t="s">
        <v>6416</v>
      </c>
    </row>
    <row r="283" spans="1:1" x14ac:dyDescent="0.2">
      <c r="A283" t="s">
        <v>6417</v>
      </c>
    </row>
    <row r="284" spans="1:1" x14ac:dyDescent="0.2">
      <c r="A284" t="s">
        <v>6418</v>
      </c>
    </row>
    <row r="285" spans="1:1" x14ac:dyDescent="0.2">
      <c r="A285" t="s">
        <v>6419</v>
      </c>
    </row>
    <row r="286" spans="1:1" x14ac:dyDescent="0.2">
      <c r="A286" t="s">
        <v>6420</v>
      </c>
    </row>
    <row r="287" spans="1:1" x14ac:dyDescent="0.2">
      <c r="A287" t="s">
        <v>6421</v>
      </c>
    </row>
    <row r="288" spans="1:1" x14ac:dyDescent="0.2">
      <c r="A288" t="s">
        <v>6422</v>
      </c>
    </row>
    <row r="289" spans="1:1" x14ac:dyDescent="0.2">
      <c r="A289" t="s">
        <v>6423</v>
      </c>
    </row>
    <row r="290" spans="1:1" x14ac:dyDescent="0.2">
      <c r="A290" t="s">
        <v>6424</v>
      </c>
    </row>
    <row r="291" spans="1:1" x14ac:dyDescent="0.2">
      <c r="A291" t="s">
        <v>6425</v>
      </c>
    </row>
    <row r="292" spans="1:1" x14ac:dyDescent="0.2">
      <c r="A292" t="s">
        <v>6426</v>
      </c>
    </row>
    <row r="293" spans="1:1" x14ac:dyDescent="0.2">
      <c r="A293" t="s">
        <v>6427</v>
      </c>
    </row>
    <row r="294" spans="1:1" x14ac:dyDescent="0.2">
      <c r="A294" t="s">
        <v>6428</v>
      </c>
    </row>
    <row r="295" spans="1:1" x14ac:dyDescent="0.2">
      <c r="A295" t="s">
        <v>6429</v>
      </c>
    </row>
    <row r="296" spans="1:1" x14ac:dyDescent="0.2">
      <c r="A296" t="s">
        <v>6430</v>
      </c>
    </row>
    <row r="297" spans="1:1" x14ac:dyDescent="0.2">
      <c r="A297" t="s">
        <v>6431</v>
      </c>
    </row>
    <row r="298" spans="1:1" x14ac:dyDescent="0.2">
      <c r="A298" t="s">
        <v>6432</v>
      </c>
    </row>
    <row r="299" spans="1:1" x14ac:dyDescent="0.2">
      <c r="A299" t="s">
        <v>6433</v>
      </c>
    </row>
    <row r="300" spans="1:1" x14ac:dyDescent="0.2">
      <c r="A300" t="s">
        <v>6434</v>
      </c>
    </row>
    <row r="301" spans="1:1" x14ac:dyDescent="0.2">
      <c r="A301" t="s">
        <v>6435</v>
      </c>
    </row>
    <row r="302" spans="1:1" x14ac:dyDescent="0.2">
      <c r="A302" t="s">
        <v>6436</v>
      </c>
    </row>
    <row r="303" spans="1:1" x14ac:dyDescent="0.2">
      <c r="A303" t="s">
        <v>6437</v>
      </c>
    </row>
    <row r="304" spans="1:1" x14ac:dyDescent="0.2">
      <c r="A304" t="s">
        <v>6438</v>
      </c>
    </row>
    <row r="305" spans="1:1" x14ac:dyDescent="0.2">
      <c r="A305" t="s">
        <v>6439</v>
      </c>
    </row>
    <row r="306" spans="1:1" x14ac:dyDescent="0.2">
      <c r="A306" t="s">
        <v>6440</v>
      </c>
    </row>
    <row r="307" spans="1:1" x14ac:dyDescent="0.2">
      <c r="A307" t="s">
        <v>6441</v>
      </c>
    </row>
    <row r="308" spans="1:1" x14ac:dyDescent="0.2">
      <c r="A308" t="s">
        <v>6442</v>
      </c>
    </row>
    <row r="309" spans="1:1" x14ac:dyDescent="0.2">
      <c r="A309" t="s">
        <v>6443</v>
      </c>
    </row>
    <row r="310" spans="1:1" x14ac:dyDescent="0.2">
      <c r="A310" t="s">
        <v>6444</v>
      </c>
    </row>
    <row r="311" spans="1:1" x14ac:dyDescent="0.2">
      <c r="A311" t="s">
        <v>6445</v>
      </c>
    </row>
    <row r="312" spans="1:1" x14ac:dyDescent="0.2">
      <c r="A312" t="s">
        <v>6446</v>
      </c>
    </row>
    <row r="313" spans="1:1" x14ac:dyDescent="0.2">
      <c r="A313" t="s">
        <v>6447</v>
      </c>
    </row>
    <row r="314" spans="1:1" x14ac:dyDescent="0.2">
      <c r="A314" t="s">
        <v>6448</v>
      </c>
    </row>
    <row r="315" spans="1:1" x14ac:dyDescent="0.2">
      <c r="A315" t="s">
        <v>6449</v>
      </c>
    </row>
    <row r="316" spans="1:1" x14ac:dyDescent="0.2">
      <c r="A316" t="s">
        <v>6450</v>
      </c>
    </row>
    <row r="317" spans="1:1" x14ac:dyDescent="0.2">
      <c r="A317" t="s">
        <v>6451</v>
      </c>
    </row>
    <row r="318" spans="1:1" x14ac:dyDescent="0.2">
      <c r="A318" t="s">
        <v>6452</v>
      </c>
    </row>
    <row r="319" spans="1:1" x14ac:dyDescent="0.2">
      <c r="A319" t="s">
        <v>6453</v>
      </c>
    </row>
    <row r="320" spans="1:1" x14ac:dyDescent="0.2">
      <c r="A320" t="s">
        <v>6454</v>
      </c>
    </row>
    <row r="321" spans="1:1" x14ac:dyDescent="0.2">
      <c r="A321" t="s">
        <v>6455</v>
      </c>
    </row>
    <row r="322" spans="1:1" x14ac:dyDescent="0.2">
      <c r="A322" t="s">
        <v>6456</v>
      </c>
    </row>
    <row r="323" spans="1:1" x14ac:dyDescent="0.2">
      <c r="A323" t="s">
        <v>6457</v>
      </c>
    </row>
    <row r="324" spans="1:1" x14ac:dyDescent="0.2">
      <c r="A324" t="s">
        <v>6458</v>
      </c>
    </row>
    <row r="325" spans="1:1" x14ac:dyDescent="0.2">
      <c r="A325" t="s">
        <v>6459</v>
      </c>
    </row>
    <row r="326" spans="1:1" x14ac:dyDescent="0.2">
      <c r="A326" t="s">
        <v>6460</v>
      </c>
    </row>
    <row r="327" spans="1:1" x14ac:dyDescent="0.2">
      <c r="A327" t="s">
        <v>6461</v>
      </c>
    </row>
    <row r="328" spans="1:1" x14ac:dyDescent="0.2">
      <c r="A328" t="s">
        <v>6462</v>
      </c>
    </row>
    <row r="329" spans="1:1" x14ac:dyDescent="0.2">
      <c r="A329" t="s">
        <v>6463</v>
      </c>
    </row>
    <row r="330" spans="1:1" x14ac:dyDescent="0.2">
      <c r="A330" t="s">
        <v>6464</v>
      </c>
    </row>
    <row r="331" spans="1:1" x14ac:dyDescent="0.2">
      <c r="A331" t="s">
        <v>6465</v>
      </c>
    </row>
    <row r="332" spans="1:1" x14ac:dyDescent="0.2">
      <c r="A332" t="s">
        <v>6466</v>
      </c>
    </row>
    <row r="333" spans="1:1" x14ac:dyDescent="0.2">
      <c r="A333" t="s">
        <v>6467</v>
      </c>
    </row>
    <row r="334" spans="1:1" x14ac:dyDescent="0.2">
      <c r="A334" t="s">
        <v>6468</v>
      </c>
    </row>
    <row r="335" spans="1:1" x14ac:dyDescent="0.2">
      <c r="A335" t="s">
        <v>6469</v>
      </c>
    </row>
    <row r="336" spans="1:1" x14ac:dyDescent="0.2">
      <c r="A336" t="s">
        <v>6470</v>
      </c>
    </row>
    <row r="337" spans="1:1" x14ac:dyDescent="0.2">
      <c r="A337" t="s">
        <v>6471</v>
      </c>
    </row>
    <row r="338" spans="1:1" x14ac:dyDescent="0.2">
      <c r="A338" t="s">
        <v>6472</v>
      </c>
    </row>
    <row r="339" spans="1:1" x14ac:dyDescent="0.2">
      <c r="A339" t="s">
        <v>6473</v>
      </c>
    </row>
    <row r="340" spans="1:1" x14ac:dyDescent="0.2">
      <c r="A340" t="s">
        <v>6474</v>
      </c>
    </row>
    <row r="341" spans="1:1" x14ac:dyDescent="0.2">
      <c r="A341" t="s">
        <v>6475</v>
      </c>
    </row>
    <row r="342" spans="1:1" x14ac:dyDescent="0.2">
      <c r="A342" t="s">
        <v>6476</v>
      </c>
    </row>
    <row r="343" spans="1:1" x14ac:dyDescent="0.2">
      <c r="A343" t="s">
        <v>6477</v>
      </c>
    </row>
    <row r="344" spans="1:1" x14ac:dyDescent="0.2">
      <c r="A344" t="s">
        <v>6478</v>
      </c>
    </row>
    <row r="345" spans="1:1" x14ac:dyDescent="0.2">
      <c r="A345" t="s">
        <v>6479</v>
      </c>
    </row>
    <row r="346" spans="1:1" x14ac:dyDescent="0.2">
      <c r="A346" t="s">
        <v>6480</v>
      </c>
    </row>
    <row r="347" spans="1:1" x14ac:dyDescent="0.2">
      <c r="A347" t="s">
        <v>6481</v>
      </c>
    </row>
    <row r="348" spans="1:1" x14ac:dyDescent="0.2">
      <c r="A348" t="s">
        <v>6482</v>
      </c>
    </row>
    <row r="349" spans="1:1" x14ac:dyDescent="0.2">
      <c r="A349" t="s">
        <v>6483</v>
      </c>
    </row>
    <row r="350" spans="1:1" x14ac:dyDescent="0.2">
      <c r="A350" t="s">
        <v>6484</v>
      </c>
    </row>
    <row r="351" spans="1:1" x14ac:dyDescent="0.2">
      <c r="A351" t="s">
        <v>6485</v>
      </c>
    </row>
    <row r="352" spans="1:1" x14ac:dyDescent="0.2">
      <c r="A352" t="s">
        <v>6486</v>
      </c>
    </row>
    <row r="353" spans="1:1" x14ac:dyDescent="0.2">
      <c r="A353" t="s">
        <v>6487</v>
      </c>
    </row>
    <row r="354" spans="1:1" x14ac:dyDescent="0.2">
      <c r="A354" t="s">
        <v>6488</v>
      </c>
    </row>
    <row r="355" spans="1:1" x14ac:dyDescent="0.2">
      <c r="A355" t="s">
        <v>6489</v>
      </c>
    </row>
    <row r="356" spans="1:1" x14ac:dyDescent="0.2">
      <c r="A356" t="s">
        <v>6490</v>
      </c>
    </row>
    <row r="357" spans="1:1" x14ac:dyDescent="0.2">
      <c r="A357" t="s">
        <v>6491</v>
      </c>
    </row>
    <row r="358" spans="1:1" x14ac:dyDescent="0.2">
      <c r="A358" t="s">
        <v>6492</v>
      </c>
    </row>
    <row r="359" spans="1:1" x14ac:dyDescent="0.2">
      <c r="A359" t="s">
        <v>6493</v>
      </c>
    </row>
    <row r="360" spans="1:1" x14ac:dyDescent="0.2">
      <c r="A360" t="s">
        <v>6494</v>
      </c>
    </row>
    <row r="361" spans="1:1" x14ac:dyDescent="0.2">
      <c r="A361" t="s">
        <v>6495</v>
      </c>
    </row>
    <row r="362" spans="1:1" x14ac:dyDescent="0.2">
      <c r="A362" t="s">
        <v>6496</v>
      </c>
    </row>
    <row r="363" spans="1:1" x14ac:dyDescent="0.2">
      <c r="A363" t="s">
        <v>6497</v>
      </c>
    </row>
    <row r="364" spans="1:1" x14ac:dyDescent="0.2">
      <c r="A364" t="s">
        <v>6498</v>
      </c>
    </row>
    <row r="365" spans="1:1" x14ac:dyDescent="0.2">
      <c r="A365" t="s">
        <v>6499</v>
      </c>
    </row>
    <row r="366" spans="1:1" x14ac:dyDescent="0.2">
      <c r="A366" t="s">
        <v>6500</v>
      </c>
    </row>
    <row r="367" spans="1:1" x14ac:dyDescent="0.2">
      <c r="A367" t="s">
        <v>6501</v>
      </c>
    </row>
    <row r="368" spans="1:1" x14ac:dyDescent="0.2">
      <c r="A368" t="s">
        <v>6502</v>
      </c>
    </row>
    <row r="369" spans="1:1" x14ac:dyDescent="0.2">
      <c r="A369" t="s">
        <v>6503</v>
      </c>
    </row>
    <row r="370" spans="1:1" x14ac:dyDescent="0.2">
      <c r="A370" t="s">
        <v>6504</v>
      </c>
    </row>
    <row r="371" spans="1:1" x14ac:dyDescent="0.2">
      <c r="A371" t="s">
        <v>6505</v>
      </c>
    </row>
    <row r="372" spans="1:1" x14ac:dyDescent="0.2">
      <c r="A372" t="s">
        <v>6506</v>
      </c>
    </row>
    <row r="373" spans="1:1" x14ac:dyDescent="0.2">
      <c r="A373" t="s">
        <v>6507</v>
      </c>
    </row>
    <row r="374" spans="1:1" x14ac:dyDescent="0.2">
      <c r="A374" t="s">
        <v>6508</v>
      </c>
    </row>
    <row r="375" spans="1:1" x14ac:dyDescent="0.2">
      <c r="A375" t="s">
        <v>6509</v>
      </c>
    </row>
    <row r="376" spans="1:1" x14ac:dyDescent="0.2">
      <c r="A376" t="s">
        <v>6510</v>
      </c>
    </row>
    <row r="377" spans="1:1" x14ac:dyDescent="0.2">
      <c r="A377" t="s">
        <v>6511</v>
      </c>
    </row>
    <row r="378" spans="1:1" x14ac:dyDescent="0.2">
      <c r="A378" t="s">
        <v>6512</v>
      </c>
    </row>
    <row r="379" spans="1:1" x14ac:dyDescent="0.2">
      <c r="A379" t="s">
        <v>6513</v>
      </c>
    </row>
    <row r="380" spans="1:1" x14ac:dyDescent="0.2">
      <c r="A380" t="s">
        <v>6514</v>
      </c>
    </row>
    <row r="381" spans="1:1" x14ac:dyDescent="0.2">
      <c r="A381" t="s">
        <v>6515</v>
      </c>
    </row>
    <row r="382" spans="1:1" x14ac:dyDescent="0.2">
      <c r="A382" t="s">
        <v>6516</v>
      </c>
    </row>
    <row r="383" spans="1:1" x14ac:dyDescent="0.2">
      <c r="A383" t="s">
        <v>6517</v>
      </c>
    </row>
    <row r="384" spans="1:1" x14ac:dyDescent="0.2">
      <c r="A384" t="s">
        <v>6518</v>
      </c>
    </row>
    <row r="385" spans="1:1" x14ac:dyDescent="0.2">
      <c r="A385" t="s">
        <v>6519</v>
      </c>
    </row>
    <row r="386" spans="1:1" x14ac:dyDescent="0.2">
      <c r="A386" t="s">
        <v>6520</v>
      </c>
    </row>
    <row r="387" spans="1:1" x14ac:dyDescent="0.2">
      <c r="A387" t="s">
        <v>6521</v>
      </c>
    </row>
    <row r="388" spans="1:1" x14ac:dyDescent="0.2">
      <c r="A388" t="s">
        <v>6522</v>
      </c>
    </row>
    <row r="389" spans="1:1" x14ac:dyDescent="0.2">
      <c r="A389" t="s">
        <v>6523</v>
      </c>
    </row>
    <row r="390" spans="1:1" x14ac:dyDescent="0.2">
      <c r="A390" t="s">
        <v>6524</v>
      </c>
    </row>
    <row r="391" spans="1:1" x14ac:dyDescent="0.2">
      <c r="A391" t="s">
        <v>6525</v>
      </c>
    </row>
    <row r="392" spans="1:1" x14ac:dyDescent="0.2">
      <c r="A392" t="s">
        <v>6526</v>
      </c>
    </row>
    <row r="393" spans="1:1" x14ac:dyDescent="0.2">
      <c r="A393" t="s">
        <v>6527</v>
      </c>
    </row>
    <row r="394" spans="1:1" x14ac:dyDescent="0.2">
      <c r="A394" t="s">
        <v>6528</v>
      </c>
    </row>
    <row r="395" spans="1:1" x14ac:dyDescent="0.2">
      <c r="A395" t="s">
        <v>6529</v>
      </c>
    </row>
    <row r="396" spans="1:1" x14ac:dyDescent="0.2">
      <c r="A396" t="s">
        <v>6530</v>
      </c>
    </row>
    <row r="397" spans="1:1" x14ac:dyDescent="0.2">
      <c r="A397" t="s">
        <v>6531</v>
      </c>
    </row>
    <row r="398" spans="1:1" x14ac:dyDescent="0.2">
      <c r="A398" t="s">
        <v>6532</v>
      </c>
    </row>
    <row r="399" spans="1:1" x14ac:dyDescent="0.2">
      <c r="A399" t="s">
        <v>6533</v>
      </c>
    </row>
    <row r="400" spans="1:1" x14ac:dyDescent="0.2">
      <c r="A400" t="s">
        <v>6534</v>
      </c>
    </row>
    <row r="401" spans="1:1" x14ac:dyDescent="0.2">
      <c r="A401" t="s">
        <v>6535</v>
      </c>
    </row>
    <row r="402" spans="1:1" x14ac:dyDescent="0.2">
      <c r="A402" t="s">
        <v>6536</v>
      </c>
    </row>
    <row r="403" spans="1:1" x14ac:dyDescent="0.2">
      <c r="A403" t="s">
        <v>6537</v>
      </c>
    </row>
    <row r="404" spans="1:1" x14ac:dyDescent="0.2">
      <c r="A404" t="s">
        <v>6538</v>
      </c>
    </row>
    <row r="405" spans="1:1" x14ac:dyDescent="0.2">
      <c r="A405" t="s">
        <v>6539</v>
      </c>
    </row>
    <row r="406" spans="1:1" x14ac:dyDescent="0.2">
      <c r="A406" t="s">
        <v>6540</v>
      </c>
    </row>
    <row r="407" spans="1:1" x14ac:dyDescent="0.2">
      <c r="A407" t="s">
        <v>6541</v>
      </c>
    </row>
    <row r="408" spans="1:1" x14ac:dyDescent="0.2">
      <c r="A408" t="s">
        <v>6542</v>
      </c>
    </row>
    <row r="409" spans="1:1" x14ac:dyDescent="0.2">
      <c r="A409" t="s">
        <v>6543</v>
      </c>
    </row>
    <row r="410" spans="1:1" x14ac:dyDescent="0.2">
      <c r="A410" t="s">
        <v>6544</v>
      </c>
    </row>
    <row r="411" spans="1:1" x14ac:dyDescent="0.2">
      <c r="A411" t="s">
        <v>6545</v>
      </c>
    </row>
    <row r="412" spans="1:1" x14ac:dyDescent="0.2">
      <c r="A412" t="s">
        <v>6546</v>
      </c>
    </row>
    <row r="413" spans="1:1" x14ac:dyDescent="0.2">
      <c r="A413" t="s">
        <v>6547</v>
      </c>
    </row>
    <row r="414" spans="1:1" x14ac:dyDescent="0.2">
      <c r="A414" t="s">
        <v>6548</v>
      </c>
    </row>
    <row r="415" spans="1:1" x14ac:dyDescent="0.2">
      <c r="A415" t="s">
        <v>6549</v>
      </c>
    </row>
    <row r="416" spans="1:1" x14ac:dyDescent="0.2">
      <c r="A416" t="s">
        <v>6550</v>
      </c>
    </row>
    <row r="417" spans="1:1" x14ac:dyDescent="0.2">
      <c r="A417" t="s">
        <v>6551</v>
      </c>
    </row>
    <row r="418" spans="1:1" x14ac:dyDescent="0.2">
      <c r="A418" t="s">
        <v>6552</v>
      </c>
    </row>
    <row r="419" spans="1:1" x14ac:dyDescent="0.2">
      <c r="A419" t="s">
        <v>6553</v>
      </c>
    </row>
    <row r="420" spans="1:1" x14ac:dyDescent="0.2">
      <c r="A420" t="s">
        <v>6554</v>
      </c>
    </row>
    <row r="421" spans="1:1" x14ac:dyDescent="0.2">
      <c r="A421" t="s">
        <v>6555</v>
      </c>
    </row>
    <row r="422" spans="1:1" x14ac:dyDescent="0.2">
      <c r="A422" t="s">
        <v>6556</v>
      </c>
    </row>
    <row r="423" spans="1:1" x14ac:dyDescent="0.2">
      <c r="A423" t="s">
        <v>6557</v>
      </c>
    </row>
    <row r="424" spans="1:1" x14ac:dyDescent="0.2">
      <c r="A424" t="s">
        <v>6558</v>
      </c>
    </row>
    <row r="425" spans="1:1" x14ac:dyDescent="0.2">
      <c r="A425" t="s">
        <v>6559</v>
      </c>
    </row>
    <row r="426" spans="1:1" x14ac:dyDescent="0.2">
      <c r="A426" t="s">
        <v>6560</v>
      </c>
    </row>
    <row r="427" spans="1:1" x14ac:dyDescent="0.2">
      <c r="A427" t="s">
        <v>6561</v>
      </c>
    </row>
    <row r="428" spans="1:1" x14ac:dyDescent="0.2">
      <c r="A428" t="s">
        <v>6562</v>
      </c>
    </row>
    <row r="429" spans="1:1" x14ac:dyDescent="0.2">
      <c r="A429" t="s">
        <v>6563</v>
      </c>
    </row>
    <row r="430" spans="1:1" x14ac:dyDescent="0.2">
      <c r="A430" t="s">
        <v>6564</v>
      </c>
    </row>
    <row r="431" spans="1:1" x14ac:dyDescent="0.2">
      <c r="A431" t="s">
        <v>6565</v>
      </c>
    </row>
    <row r="432" spans="1:1" x14ac:dyDescent="0.2">
      <c r="A432" t="s">
        <v>6566</v>
      </c>
    </row>
    <row r="433" spans="1:1" x14ac:dyDescent="0.2">
      <c r="A433" t="s">
        <v>6567</v>
      </c>
    </row>
    <row r="434" spans="1:1" x14ac:dyDescent="0.2">
      <c r="A434" t="s">
        <v>6568</v>
      </c>
    </row>
    <row r="435" spans="1:1" x14ac:dyDescent="0.2">
      <c r="A435" t="s">
        <v>6569</v>
      </c>
    </row>
    <row r="436" spans="1:1" x14ac:dyDescent="0.2">
      <c r="A436" t="s">
        <v>6570</v>
      </c>
    </row>
    <row r="437" spans="1:1" x14ac:dyDescent="0.2">
      <c r="A437" t="s">
        <v>6571</v>
      </c>
    </row>
    <row r="438" spans="1:1" x14ac:dyDescent="0.2">
      <c r="A438" t="s">
        <v>6572</v>
      </c>
    </row>
    <row r="439" spans="1:1" x14ac:dyDescent="0.2">
      <c r="A439" t="s">
        <v>6573</v>
      </c>
    </row>
    <row r="440" spans="1:1" x14ac:dyDescent="0.2">
      <c r="A440" t="s">
        <v>6574</v>
      </c>
    </row>
    <row r="441" spans="1:1" x14ac:dyDescent="0.2">
      <c r="A441" t="s">
        <v>6575</v>
      </c>
    </row>
    <row r="442" spans="1:1" x14ac:dyDescent="0.2">
      <c r="A442" t="s">
        <v>6576</v>
      </c>
    </row>
    <row r="443" spans="1:1" x14ac:dyDescent="0.2">
      <c r="A443" t="s">
        <v>6577</v>
      </c>
    </row>
    <row r="444" spans="1:1" x14ac:dyDescent="0.2">
      <c r="A444" t="s">
        <v>6578</v>
      </c>
    </row>
    <row r="445" spans="1:1" x14ac:dyDescent="0.2">
      <c r="A445" t="s">
        <v>6579</v>
      </c>
    </row>
    <row r="446" spans="1:1" x14ac:dyDescent="0.2">
      <c r="A446" t="s">
        <v>6580</v>
      </c>
    </row>
    <row r="447" spans="1:1" x14ac:dyDescent="0.2">
      <c r="A447" t="s">
        <v>6581</v>
      </c>
    </row>
    <row r="448" spans="1:1" x14ac:dyDescent="0.2">
      <c r="A448" t="s">
        <v>6582</v>
      </c>
    </row>
    <row r="449" spans="1:1" x14ac:dyDescent="0.2">
      <c r="A449" t="s">
        <v>6583</v>
      </c>
    </row>
    <row r="450" spans="1:1" x14ac:dyDescent="0.2">
      <c r="A450" t="s">
        <v>6584</v>
      </c>
    </row>
    <row r="451" spans="1:1" x14ac:dyDescent="0.2">
      <c r="A451" t="s">
        <v>6585</v>
      </c>
    </row>
    <row r="452" spans="1:1" x14ac:dyDescent="0.2">
      <c r="A452" t="s">
        <v>6586</v>
      </c>
    </row>
    <row r="453" spans="1:1" x14ac:dyDescent="0.2">
      <c r="A453" t="s">
        <v>6587</v>
      </c>
    </row>
    <row r="454" spans="1:1" x14ac:dyDescent="0.2">
      <c r="A454" t="s">
        <v>6588</v>
      </c>
    </row>
    <row r="455" spans="1:1" x14ac:dyDescent="0.2">
      <c r="A455" t="s">
        <v>6589</v>
      </c>
    </row>
    <row r="456" spans="1:1" x14ac:dyDescent="0.2">
      <c r="A456" t="s">
        <v>6590</v>
      </c>
    </row>
    <row r="457" spans="1:1" x14ac:dyDescent="0.2">
      <c r="A457" t="s">
        <v>6591</v>
      </c>
    </row>
    <row r="458" spans="1:1" x14ac:dyDescent="0.2">
      <c r="A458" t="s">
        <v>6592</v>
      </c>
    </row>
    <row r="459" spans="1:1" x14ac:dyDescent="0.2">
      <c r="A459" t="s">
        <v>6593</v>
      </c>
    </row>
    <row r="460" spans="1:1" x14ac:dyDescent="0.2">
      <c r="A460" t="s">
        <v>6594</v>
      </c>
    </row>
    <row r="461" spans="1:1" x14ac:dyDescent="0.2">
      <c r="A461" t="s">
        <v>6595</v>
      </c>
    </row>
    <row r="462" spans="1:1" x14ac:dyDescent="0.2">
      <c r="A462" t="s">
        <v>6596</v>
      </c>
    </row>
    <row r="463" spans="1:1" x14ac:dyDescent="0.2">
      <c r="A463" t="s">
        <v>6597</v>
      </c>
    </row>
    <row r="464" spans="1:1" x14ac:dyDescent="0.2">
      <c r="A464" t="s">
        <v>6598</v>
      </c>
    </row>
    <row r="465" spans="1:1" x14ac:dyDescent="0.2">
      <c r="A465" t="s">
        <v>6599</v>
      </c>
    </row>
    <row r="466" spans="1:1" x14ac:dyDescent="0.2">
      <c r="A466" t="s">
        <v>6600</v>
      </c>
    </row>
    <row r="467" spans="1:1" x14ac:dyDescent="0.2">
      <c r="A467" t="s">
        <v>6601</v>
      </c>
    </row>
    <row r="468" spans="1:1" x14ac:dyDescent="0.2">
      <c r="A468" t="s">
        <v>6602</v>
      </c>
    </row>
    <row r="469" spans="1:1" x14ac:dyDescent="0.2">
      <c r="A469" t="s">
        <v>6603</v>
      </c>
    </row>
    <row r="470" spans="1:1" x14ac:dyDescent="0.2">
      <c r="A470" t="s">
        <v>6604</v>
      </c>
    </row>
    <row r="471" spans="1:1" x14ac:dyDescent="0.2">
      <c r="A471" t="s">
        <v>6605</v>
      </c>
    </row>
    <row r="472" spans="1:1" x14ac:dyDescent="0.2">
      <c r="A472" t="s">
        <v>6606</v>
      </c>
    </row>
    <row r="473" spans="1:1" x14ac:dyDescent="0.2">
      <c r="A473" t="s">
        <v>6607</v>
      </c>
    </row>
    <row r="474" spans="1:1" x14ac:dyDescent="0.2">
      <c r="A474" t="s">
        <v>6608</v>
      </c>
    </row>
    <row r="475" spans="1:1" x14ac:dyDescent="0.2">
      <c r="A475" t="s">
        <v>6609</v>
      </c>
    </row>
    <row r="476" spans="1:1" x14ac:dyDescent="0.2">
      <c r="A476" t="s">
        <v>6610</v>
      </c>
    </row>
    <row r="477" spans="1:1" x14ac:dyDescent="0.2">
      <c r="A477" t="s">
        <v>6611</v>
      </c>
    </row>
    <row r="478" spans="1:1" x14ac:dyDescent="0.2">
      <c r="A478" t="s">
        <v>6612</v>
      </c>
    </row>
    <row r="479" spans="1:1" x14ac:dyDescent="0.2">
      <c r="A479" t="s">
        <v>6613</v>
      </c>
    </row>
    <row r="480" spans="1:1" x14ac:dyDescent="0.2">
      <c r="A480" t="s">
        <v>6614</v>
      </c>
    </row>
    <row r="481" spans="1:1" x14ac:dyDescent="0.2">
      <c r="A481" t="s">
        <v>6615</v>
      </c>
    </row>
    <row r="482" spans="1:1" x14ac:dyDescent="0.2">
      <c r="A482" t="s">
        <v>6616</v>
      </c>
    </row>
    <row r="483" spans="1:1" x14ac:dyDescent="0.2">
      <c r="A483" t="s">
        <v>6617</v>
      </c>
    </row>
    <row r="484" spans="1:1" x14ac:dyDescent="0.2">
      <c r="A484" t="s">
        <v>6618</v>
      </c>
    </row>
    <row r="485" spans="1:1" x14ac:dyDescent="0.2">
      <c r="A485" t="s">
        <v>6619</v>
      </c>
    </row>
    <row r="486" spans="1:1" x14ac:dyDescent="0.2">
      <c r="A486" t="s">
        <v>6620</v>
      </c>
    </row>
    <row r="487" spans="1:1" x14ac:dyDescent="0.2">
      <c r="A487" t="s">
        <v>6621</v>
      </c>
    </row>
    <row r="488" spans="1:1" x14ac:dyDescent="0.2">
      <c r="A488" t="s">
        <v>6622</v>
      </c>
    </row>
    <row r="489" spans="1:1" x14ac:dyDescent="0.2">
      <c r="A489" t="s">
        <v>6623</v>
      </c>
    </row>
    <row r="490" spans="1:1" x14ac:dyDescent="0.2">
      <c r="A490" t="s">
        <v>6624</v>
      </c>
    </row>
    <row r="491" spans="1:1" x14ac:dyDescent="0.2">
      <c r="A491" t="s">
        <v>6625</v>
      </c>
    </row>
    <row r="492" spans="1:1" x14ac:dyDescent="0.2">
      <c r="A492" t="s">
        <v>6626</v>
      </c>
    </row>
    <row r="493" spans="1:1" x14ac:dyDescent="0.2">
      <c r="A493" t="s">
        <v>6627</v>
      </c>
    </row>
    <row r="494" spans="1:1" x14ac:dyDescent="0.2">
      <c r="A494" t="s">
        <v>6628</v>
      </c>
    </row>
    <row r="495" spans="1:1" x14ac:dyDescent="0.2">
      <c r="A495" t="s">
        <v>6629</v>
      </c>
    </row>
    <row r="496" spans="1:1" x14ac:dyDescent="0.2">
      <c r="A496" t="s">
        <v>6630</v>
      </c>
    </row>
    <row r="497" spans="1:1" x14ac:dyDescent="0.2">
      <c r="A497" t="s">
        <v>6631</v>
      </c>
    </row>
    <row r="498" spans="1:1" x14ac:dyDescent="0.2">
      <c r="A498" t="s">
        <v>6632</v>
      </c>
    </row>
    <row r="499" spans="1:1" x14ac:dyDescent="0.2">
      <c r="A499" t="s">
        <v>6633</v>
      </c>
    </row>
    <row r="500" spans="1:1" x14ac:dyDescent="0.2">
      <c r="A500" t="s">
        <v>6634</v>
      </c>
    </row>
    <row r="501" spans="1:1" x14ac:dyDescent="0.2">
      <c r="A501" t="s">
        <v>6635</v>
      </c>
    </row>
    <row r="502" spans="1:1" x14ac:dyDescent="0.2">
      <c r="A502" t="s">
        <v>6636</v>
      </c>
    </row>
    <row r="503" spans="1:1" x14ac:dyDescent="0.2">
      <c r="A503" t="s">
        <v>6637</v>
      </c>
    </row>
    <row r="504" spans="1:1" x14ac:dyDescent="0.2">
      <c r="A504" t="s">
        <v>6638</v>
      </c>
    </row>
    <row r="505" spans="1:1" x14ac:dyDescent="0.2">
      <c r="A505" t="s">
        <v>6639</v>
      </c>
    </row>
    <row r="506" spans="1:1" x14ac:dyDescent="0.2">
      <c r="A506" t="s">
        <v>6640</v>
      </c>
    </row>
    <row r="507" spans="1:1" x14ac:dyDescent="0.2">
      <c r="A507" t="s">
        <v>6641</v>
      </c>
    </row>
    <row r="508" spans="1:1" x14ac:dyDescent="0.2">
      <c r="A508" t="s">
        <v>6642</v>
      </c>
    </row>
    <row r="509" spans="1:1" x14ac:dyDescent="0.2">
      <c r="A509" t="s">
        <v>6643</v>
      </c>
    </row>
    <row r="510" spans="1:1" x14ac:dyDescent="0.2">
      <c r="A510" t="s">
        <v>6644</v>
      </c>
    </row>
    <row r="511" spans="1:1" x14ac:dyDescent="0.2">
      <c r="A511" t="s">
        <v>6645</v>
      </c>
    </row>
    <row r="512" spans="1:1" x14ac:dyDescent="0.2">
      <c r="A512" t="s">
        <v>6646</v>
      </c>
    </row>
    <row r="513" spans="1:1" x14ac:dyDescent="0.2">
      <c r="A513" t="s">
        <v>6647</v>
      </c>
    </row>
    <row r="514" spans="1:1" x14ac:dyDescent="0.2">
      <c r="A514" t="s">
        <v>6648</v>
      </c>
    </row>
    <row r="515" spans="1:1" x14ac:dyDescent="0.2">
      <c r="A515" t="s">
        <v>6649</v>
      </c>
    </row>
    <row r="516" spans="1:1" x14ac:dyDescent="0.2">
      <c r="A516" t="s">
        <v>6650</v>
      </c>
    </row>
    <row r="517" spans="1:1" x14ac:dyDescent="0.2">
      <c r="A517" t="s">
        <v>6651</v>
      </c>
    </row>
    <row r="518" spans="1:1" x14ac:dyDescent="0.2">
      <c r="A518" t="s">
        <v>6652</v>
      </c>
    </row>
    <row r="519" spans="1:1" x14ac:dyDescent="0.2">
      <c r="A519" t="s">
        <v>6653</v>
      </c>
    </row>
    <row r="520" spans="1:1" x14ac:dyDescent="0.2">
      <c r="A520" t="s">
        <v>6654</v>
      </c>
    </row>
    <row r="521" spans="1:1" x14ac:dyDescent="0.2">
      <c r="A521" t="s">
        <v>6655</v>
      </c>
    </row>
    <row r="522" spans="1:1" x14ac:dyDescent="0.2">
      <c r="A522" t="s">
        <v>6656</v>
      </c>
    </row>
    <row r="523" spans="1:1" x14ac:dyDescent="0.2">
      <c r="A523" t="s">
        <v>6657</v>
      </c>
    </row>
    <row r="524" spans="1:1" x14ac:dyDescent="0.2">
      <c r="A524" t="s">
        <v>6658</v>
      </c>
    </row>
    <row r="525" spans="1:1" x14ac:dyDescent="0.2">
      <c r="A525" t="s">
        <v>6659</v>
      </c>
    </row>
    <row r="526" spans="1:1" x14ac:dyDescent="0.2">
      <c r="A526" t="s">
        <v>6660</v>
      </c>
    </row>
    <row r="527" spans="1:1" x14ac:dyDescent="0.2">
      <c r="A527" t="s">
        <v>6661</v>
      </c>
    </row>
    <row r="528" spans="1:1" x14ac:dyDescent="0.2">
      <c r="A528" t="s">
        <v>6662</v>
      </c>
    </row>
    <row r="529" spans="1:1" x14ac:dyDescent="0.2">
      <c r="A529" t="s">
        <v>6663</v>
      </c>
    </row>
    <row r="530" spans="1:1" x14ac:dyDescent="0.2">
      <c r="A530" t="s">
        <v>6664</v>
      </c>
    </row>
    <row r="531" spans="1:1" x14ac:dyDescent="0.2">
      <c r="A531" t="s">
        <v>6665</v>
      </c>
    </row>
    <row r="532" spans="1:1" x14ac:dyDescent="0.2">
      <c r="A532" t="s">
        <v>6666</v>
      </c>
    </row>
    <row r="533" spans="1:1" x14ac:dyDescent="0.2">
      <c r="A533" t="s">
        <v>6667</v>
      </c>
    </row>
    <row r="534" spans="1:1" x14ac:dyDescent="0.2">
      <c r="A534" t="s">
        <v>6668</v>
      </c>
    </row>
    <row r="535" spans="1:1" x14ac:dyDescent="0.2">
      <c r="A535" t="s">
        <v>6669</v>
      </c>
    </row>
    <row r="536" spans="1:1" x14ac:dyDescent="0.2">
      <c r="A536" t="s">
        <v>6670</v>
      </c>
    </row>
    <row r="537" spans="1:1" x14ac:dyDescent="0.2">
      <c r="A537" t="s">
        <v>6671</v>
      </c>
    </row>
    <row r="538" spans="1:1" x14ac:dyDescent="0.2">
      <c r="A538" t="s">
        <v>6672</v>
      </c>
    </row>
    <row r="539" spans="1:1" x14ac:dyDescent="0.2">
      <c r="A539" t="s">
        <v>6673</v>
      </c>
    </row>
    <row r="540" spans="1:1" x14ac:dyDescent="0.2">
      <c r="A540" t="s">
        <v>6674</v>
      </c>
    </row>
    <row r="541" spans="1:1" x14ac:dyDescent="0.2">
      <c r="A541" t="s">
        <v>6675</v>
      </c>
    </row>
    <row r="542" spans="1:1" x14ac:dyDescent="0.2">
      <c r="A542" t="s">
        <v>6676</v>
      </c>
    </row>
    <row r="543" spans="1:1" x14ac:dyDescent="0.2">
      <c r="A543" t="s">
        <v>6677</v>
      </c>
    </row>
    <row r="544" spans="1:1" x14ac:dyDescent="0.2">
      <c r="A544" t="s">
        <v>6678</v>
      </c>
    </row>
    <row r="545" spans="1:1" x14ac:dyDescent="0.2">
      <c r="A545" t="s">
        <v>6679</v>
      </c>
    </row>
    <row r="546" spans="1:1" x14ac:dyDescent="0.2">
      <c r="A546" t="s">
        <v>6680</v>
      </c>
    </row>
    <row r="547" spans="1:1" x14ac:dyDescent="0.2">
      <c r="A547" t="s">
        <v>6681</v>
      </c>
    </row>
    <row r="548" spans="1:1" x14ac:dyDescent="0.2">
      <c r="A548" t="s">
        <v>6682</v>
      </c>
    </row>
    <row r="549" spans="1:1" x14ac:dyDescent="0.2">
      <c r="A549" t="s">
        <v>6683</v>
      </c>
    </row>
    <row r="550" spans="1:1" x14ac:dyDescent="0.2">
      <c r="A550" t="s">
        <v>6684</v>
      </c>
    </row>
    <row r="551" spans="1:1" x14ac:dyDescent="0.2">
      <c r="A551" t="s">
        <v>6685</v>
      </c>
    </row>
    <row r="552" spans="1:1" x14ac:dyDescent="0.2">
      <c r="A552" t="s">
        <v>6686</v>
      </c>
    </row>
    <row r="553" spans="1:1" x14ac:dyDescent="0.2">
      <c r="A553" t="s">
        <v>6687</v>
      </c>
    </row>
    <row r="554" spans="1:1" x14ac:dyDescent="0.2">
      <c r="A554" t="s">
        <v>6688</v>
      </c>
    </row>
    <row r="555" spans="1:1" x14ac:dyDescent="0.2">
      <c r="A555" t="s">
        <v>6689</v>
      </c>
    </row>
    <row r="556" spans="1:1" x14ac:dyDescent="0.2">
      <c r="A556" t="s">
        <v>6690</v>
      </c>
    </row>
    <row r="557" spans="1:1" x14ac:dyDescent="0.2">
      <c r="A557" t="s">
        <v>6691</v>
      </c>
    </row>
    <row r="558" spans="1:1" x14ac:dyDescent="0.2">
      <c r="A558" t="s">
        <v>6692</v>
      </c>
    </row>
    <row r="559" spans="1:1" x14ac:dyDescent="0.2">
      <c r="A559" t="s">
        <v>6693</v>
      </c>
    </row>
    <row r="560" spans="1:1" x14ac:dyDescent="0.2">
      <c r="A560" t="s">
        <v>6694</v>
      </c>
    </row>
    <row r="561" spans="1:1" x14ac:dyDescent="0.2">
      <c r="A561" t="s">
        <v>6695</v>
      </c>
    </row>
    <row r="562" spans="1:1" x14ac:dyDescent="0.2">
      <c r="A562" t="s">
        <v>6696</v>
      </c>
    </row>
    <row r="563" spans="1:1" x14ac:dyDescent="0.2">
      <c r="A563" t="s">
        <v>6697</v>
      </c>
    </row>
    <row r="564" spans="1:1" x14ac:dyDescent="0.2">
      <c r="A564" t="s">
        <v>6698</v>
      </c>
    </row>
    <row r="565" spans="1:1" x14ac:dyDescent="0.2">
      <c r="A565" t="s">
        <v>6699</v>
      </c>
    </row>
    <row r="566" spans="1:1" x14ac:dyDescent="0.2">
      <c r="A566" t="s">
        <v>6700</v>
      </c>
    </row>
    <row r="567" spans="1:1" x14ac:dyDescent="0.2">
      <c r="A567" t="s">
        <v>6701</v>
      </c>
    </row>
    <row r="568" spans="1:1" x14ac:dyDescent="0.2">
      <c r="A568" t="s">
        <v>6702</v>
      </c>
    </row>
    <row r="569" spans="1:1" x14ac:dyDescent="0.2">
      <c r="A569" t="s">
        <v>6703</v>
      </c>
    </row>
    <row r="570" spans="1:1" x14ac:dyDescent="0.2">
      <c r="A570" t="s">
        <v>6704</v>
      </c>
    </row>
    <row r="571" spans="1:1" x14ac:dyDescent="0.2">
      <c r="A571" t="s">
        <v>6705</v>
      </c>
    </row>
    <row r="572" spans="1:1" x14ac:dyDescent="0.2">
      <c r="A572" t="s">
        <v>6706</v>
      </c>
    </row>
    <row r="573" spans="1:1" x14ac:dyDescent="0.2">
      <c r="A573" t="s">
        <v>6707</v>
      </c>
    </row>
    <row r="574" spans="1:1" x14ac:dyDescent="0.2">
      <c r="A574" t="s">
        <v>6708</v>
      </c>
    </row>
    <row r="575" spans="1:1" x14ac:dyDescent="0.2">
      <c r="A575" t="s">
        <v>6709</v>
      </c>
    </row>
    <row r="576" spans="1:1" x14ac:dyDescent="0.2">
      <c r="A576" t="s">
        <v>6710</v>
      </c>
    </row>
    <row r="577" spans="1:1" x14ac:dyDescent="0.2">
      <c r="A577" t="s">
        <v>6711</v>
      </c>
    </row>
    <row r="578" spans="1:1" x14ac:dyDescent="0.2">
      <c r="A578" t="s">
        <v>6712</v>
      </c>
    </row>
    <row r="579" spans="1:1" x14ac:dyDescent="0.2">
      <c r="A579" t="s">
        <v>6713</v>
      </c>
    </row>
    <row r="580" spans="1:1" x14ac:dyDescent="0.2">
      <c r="A580" t="s">
        <v>6714</v>
      </c>
    </row>
    <row r="581" spans="1:1" x14ac:dyDescent="0.2">
      <c r="A581" t="s">
        <v>6715</v>
      </c>
    </row>
    <row r="582" spans="1:1" x14ac:dyDescent="0.2">
      <c r="A582" t="s">
        <v>6716</v>
      </c>
    </row>
    <row r="583" spans="1:1" x14ac:dyDescent="0.2">
      <c r="A583" t="s">
        <v>6717</v>
      </c>
    </row>
    <row r="584" spans="1:1" x14ac:dyDescent="0.2">
      <c r="A584" t="s">
        <v>6718</v>
      </c>
    </row>
    <row r="585" spans="1:1" x14ac:dyDescent="0.2">
      <c r="A585" t="s">
        <v>6719</v>
      </c>
    </row>
    <row r="586" spans="1:1" x14ac:dyDescent="0.2">
      <c r="A586" t="s">
        <v>6720</v>
      </c>
    </row>
    <row r="587" spans="1:1" x14ac:dyDescent="0.2">
      <c r="A587" t="s">
        <v>6721</v>
      </c>
    </row>
    <row r="588" spans="1:1" x14ac:dyDescent="0.2">
      <c r="A588" t="s">
        <v>6722</v>
      </c>
    </row>
    <row r="589" spans="1:1" x14ac:dyDescent="0.2">
      <c r="A589" t="s">
        <v>6723</v>
      </c>
    </row>
    <row r="590" spans="1:1" x14ac:dyDescent="0.2">
      <c r="A590" t="s">
        <v>6724</v>
      </c>
    </row>
    <row r="591" spans="1:1" x14ac:dyDescent="0.2">
      <c r="A591" t="s">
        <v>6725</v>
      </c>
    </row>
    <row r="592" spans="1:1" x14ac:dyDescent="0.2">
      <c r="A592" t="s">
        <v>6726</v>
      </c>
    </row>
    <row r="593" spans="1:1" x14ac:dyDescent="0.2">
      <c r="A593" t="s">
        <v>6727</v>
      </c>
    </row>
    <row r="594" spans="1:1" x14ac:dyDescent="0.2">
      <c r="A594" t="s">
        <v>6728</v>
      </c>
    </row>
    <row r="595" spans="1:1" x14ac:dyDescent="0.2">
      <c r="A595" t="s">
        <v>6729</v>
      </c>
    </row>
    <row r="596" spans="1:1" x14ac:dyDescent="0.2">
      <c r="A596" t="s">
        <v>6730</v>
      </c>
    </row>
    <row r="597" spans="1:1" x14ac:dyDescent="0.2">
      <c r="A597" t="s">
        <v>6731</v>
      </c>
    </row>
    <row r="598" spans="1:1" x14ac:dyDescent="0.2">
      <c r="A598" t="s">
        <v>6732</v>
      </c>
    </row>
    <row r="599" spans="1:1" x14ac:dyDescent="0.2">
      <c r="A599" t="s">
        <v>6733</v>
      </c>
    </row>
    <row r="600" spans="1:1" x14ac:dyDescent="0.2">
      <c r="A600" t="s">
        <v>6734</v>
      </c>
    </row>
    <row r="601" spans="1:1" x14ac:dyDescent="0.2">
      <c r="A601" t="s">
        <v>6735</v>
      </c>
    </row>
    <row r="602" spans="1:1" x14ac:dyDescent="0.2">
      <c r="A602" t="s">
        <v>6736</v>
      </c>
    </row>
    <row r="603" spans="1:1" x14ac:dyDescent="0.2">
      <c r="A603" t="s">
        <v>6737</v>
      </c>
    </row>
    <row r="604" spans="1:1" x14ac:dyDescent="0.2">
      <c r="A604" t="s">
        <v>6738</v>
      </c>
    </row>
    <row r="605" spans="1:1" x14ac:dyDescent="0.2">
      <c r="A605" t="s">
        <v>6739</v>
      </c>
    </row>
    <row r="606" spans="1:1" x14ac:dyDescent="0.2">
      <c r="A606" t="s">
        <v>6740</v>
      </c>
    </row>
    <row r="607" spans="1:1" x14ac:dyDescent="0.2">
      <c r="A607" t="s">
        <v>6741</v>
      </c>
    </row>
    <row r="608" spans="1:1" x14ac:dyDescent="0.2">
      <c r="A608" t="s">
        <v>6742</v>
      </c>
    </row>
    <row r="609" spans="1:1" x14ac:dyDescent="0.2">
      <c r="A609" t="s">
        <v>6743</v>
      </c>
    </row>
    <row r="610" spans="1:1" x14ac:dyDescent="0.2">
      <c r="A610" t="s">
        <v>6744</v>
      </c>
    </row>
    <row r="611" spans="1:1" x14ac:dyDescent="0.2">
      <c r="A611" t="s">
        <v>6745</v>
      </c>
    </row>
    <row r="612" spans="1:1" x14ac:dyDescent="0.2">
      <c r="A612" t="s">
        <v>6746</v>
      </c>
    </row>
    <row r="613" spans="1:1" x14ac:dyDescent="0.2">
      <c r="A613" t="s">
        <v>6747</v>
      </c>
    </row>
    <row r="614" spans="1:1" x14ac:dyDescent="0.2">
      <c r="A614" t="s">
        <v>6748</v>
      </c>
    </row>
    <row r="615" spans="1:1" x14ac:dyDescent="0.2">
      <c r="A615" t="s">
        <v>6749</v>
      </c>
    </row>
    <row r="616" spans="1:1" x14ac:dyDescent="0.2">
      <c r="A616" t="s">
        <v>6750</v>
      </c>
    </row>
    <row r="617" spans="1:1" x14ac:dyDescent="0.2">
      <c r="A617" t="s">
        <v>6751</v>
      </c>
    </row>
    <row r="618" spans="1:1" x14ac:dyDescent="0.2">
      <c r="A618" t="s">
        <v>6752</v>
      </c>
    </row>
    <row r="619" spans="1:1" x14ac:dyDescent="0.2">
      <c r="A619" t="s">
        <v>6753</v>
      </c>
    </row>
    <row r="620" spans="1:1" x14ac:dyDescent="0.2">
      <c r="A620" t="s">
        <v>6754</v>
      </c>
    </row>
    <row r="621" spans="1:1" x14ac:dyDescent="0.2">
      <c r="A621" t="s">
        <v>6755</v>
      </c>
    </row>
    <row r="622" spans="1:1" x14ac:dyDescent="0.2">
      <c r="A622" t="s">
        <v>6756</v>
      </c>
    </row>
    <row r="623" spans="1:1" x14ac:dyDescent="0.2">
      <c r="A623" t="s">
        <v>6757</v>
      </c>
    </row>
    <row r="624" spans="1:1" x14ac:dyDescent="0.2">
      <c r="A624" t="s">
        <v>6758</v>
      </c>
    </row>
    <row r="625" spans="1:1" x14ac:dyDescent="0.2">
      <c r="A625" t="s">
        <v>6759</v>
      </c>
    </row>
    <row r="626" spans="1:1" x14ac:dyDescent="0.2">
      <c r="A626" t="s">
        <v>6760</v>
      </c>
    </row>
    <row r="627" spans="1:1" x14ac:dyDescent="0.2">
      <c r="A627" t="s">
        <v>6761</v>
      </c>
    </row>
    <row r="628" spans="1:1" x14ac:dyDescent="0.2">
      <c r="A628" t="s">
        <v>6762</v>
      </c>
    </row>
    <row r="629" spans="1:1" x14ac:dyDescent="0.2">
      <c r="A629" t="s">
        <v>6763</v>
      </c>
    </row>
    <row r="630" spans="1:1" x14ac:dyDescent="0.2">
      <c r="A630" t="s">
        <v>6764</v>
      </c>
    </row>
    <row r="631" spans="1:1" x14ac:dyDescent="0.2">
      <c r="A631" t="s">
        <v>6765</v>
      </c>
    </row>
    <row r="632" spans="1:1" x14ac:dyDescent="0.2">
      <c r="A632" t="s">
        <v>6766</v>
      </c>
    </row>
    <row r="633" spans="1:1" x14ac:dyDescent="0.2">
      <c r="A633" t="s">
        <v>6767</v>
      </c>
    </row>
    <row r="634" spans="1:1" x14ac:dyDescent="0.2">
      <c r="A634" t="s">
        <v>6768</v>
      </c>
    </row>
    <row r="635" spans="1:1" x14ac:dyDescent="0.2">
      <c r="A635" t="s">
        <v>6769</v>
      </c>
    </row>
    <row r="636" spans="1:1" x14ac:dyDescent="0.2">
      <c r="A636" t="s">
        <v>6770</v>
      </c>
    </row>
    <row r="637" spans="1:1" x14ac:dyDescent="0.2">
      <c r="A637" t="s">
        <v>6771</v>
      </c>
    </row>
    <row r="638" spans="1:1" x14ac:dyDescent="0.2">
      <c r="A638" t="s">
        <v>6772</v>
      </c>
    </row>
    <row r="639" spans="1:1" x14ac:dyDescent="0.2">
      <c r="A639" t="s">
        <v>6773</v>
      </c>
    </row>
    <row r="640" spans="1:1" x14ac:dyDescent="0.2">
      <c r="A640" t="s">
        <v>6774</v>
      </c>
    </row>
    <row r="641" spans="1:1" x14ac:dyDescent="0.2">
      <c r="A641" t="s">
        <v>6775</v>
      </c>
    </row>
    <row r="642" spans="1:1" x14ac:dyDescent="0.2">
      <c r="A642" t="s">
        <v>6776</v>
      </c>
    </row>
    <row r="643" spans="1:1" x14ac:dyDescent="0.2">
      <c r="A643" t="s">
        <v>6777</v>
      </c>
    </row>
    <row r="644" spans="1:1" x14ac:dyDescent="0.2">
      <c r="A644" t="s">
        <v>6778</v>
      </c>
    </row>
    <row r="645" spans="1:1" x14ac:dyDescent="0.2">
      <c r="A645" t="s">
        <v>6779</v>
      </c>
    </row>
    <row r="646" spans="1:1" x14ac:dyDescent="0.2">
      <c r="A646" t="s">
        <v>6780</v>
      </c>
    </row>
    <row r="647" spans="1:1" x14ac:dyDescent="0.2">
      <c r="A647" t="s">
        <v>6781</v>
      </c>
    </row>
    <row r="648" spans="1:1" x14ac:dyDescent="0.2">
      <c r="A648" t="s">
        <v>6782</v>
      </c>
    </row>
    <row r="649" spans="1:1" x14ac:dyDescent="0.2">
      <c r="A649" t="s">
        <v>6783</v>
      </c>
    </row>
    <row r="650" spans="1:1" x14ac:dyDescent="0.2">
      <c r="A650" t="s">
        <v>6784</v>
      </c>
    </row>
    <row r="651" spans="1:1" x14ac:dyDescent="0.2">
      <c r="A651" t="s">
        <v>6785</v>
      </c>
    </row>
    <row r="652" spans="1:1" x14ac:dyDescent="0.2">
      <c r="A652" t="s">
        <v>6786</v>
      </c>
    </row>
    <row r="653" spans="1:1" x14ac:dyDescent="0.2">
      <c r="A653" t="s">
        <v>6787</v>
      </c>
    </row>
    <row r="654" spans="1:1" x14ac:dyDescent="0.2">
      <c r="A654" t="s">
        <v>6788</v>
      </c>
    </row>
    <row r="655" spans="1:1" x14ac:dyDescent="0.2">
      <c r="A655" t="s">
        <v>6789</v>
      </c>
    </row>
    <row r="656" spans="1:1" x14ac:dyDescent="0.2">
      <c r="A656" t="s">
        <v>6790</v>
      </c>
    </row>
    <row r="657" spans="1:1" x14ac:dyDescent="0.2">
      <c r="A657" t="s">
        <v>6791</v>
      </c>
    </row>
    <row r="658" spans="1:1" x14ac:dyDescent="0.2">
      <c r="A658" t="s">
        <v>6792</v>
      </c>
    </row>
    <row r="659" spans="1:1" x14ac:dyDescent="0.2">
      <c r="A659" t="s">
        <v>6793</v>
      </c>
    </row>
    <row r="660" spans="1:1" x14ac:dyDescent="0.2">
      <c r="A660" t="s">
        <v>6794</v>
      </c>
    </row>
    <row r="661" spans="1:1" x14ac:dyDescent="0.2">
      <c r="A661" t="s">
        <v>6795</v>
      </c>
    </row>
    <row r="662" spans="1:1" x14ac:dyDescent="0.2">
      <c r="A662" t="s">
        <v>6796</v>
      </c>
    </row>
    <row r="663" spans="1:1" x14ac:dyDescent="0.2">
      <c r="A663" t="s">
        <v>6797</v>
      </c>
    </row>
    <row r="664" spans="1:1" x14ac:dyDescent="0.2">
      <c r="A664" t="s">
        <v>6798</v>
      </c>
    </row>
    <row r="665" spans="1:1" x14ac:dyDescent="0.2">
      <c r="A665" t="s">
        <v>6799</v>
      </c>
    </row>
    <row r="666" spans="1:1" x14ac:dyDescent="0.2">
      <c r="A666" t="s">
        <v>6800</v>
      </c>
    </row>
    <row r="667" spans="1:1" x14ac:dyDescent="0.2">
      <c r="A667" t="s">
        <v>6801</v>
      </c>
    </row>
    <row r="668" spans="1:1" x14ac:dyDescent="0.2">
      <c r="A668" t="s">
        <v>6802</v>
      </c>
    </row>
    <row r="669" spans="1:1" x14ac:dyDescent="0.2">
      <c r="A669" t="s">
        <v>6803</v>
      </c>
    </row>
    <row r="670" spans="1:1" x14ac:dyDescent="0.2">
      <c r="A670" t="s">
        <v>6804</v>
      </c>
    </row>
    <row r="671" spans="1:1" x14ac:dyDescent="0.2">
      <c r="A671" t="s">
        <v>6805</v>
      </c>
    </row>
    <row r="672" spans="1:1" x14ac:dyDescent="0.2">
      <c r="A672" t="s">
        <v>6806</v>
      </c>
    </row>
    <row r="673" spans="1:1" x14ac:dyDescent="0.2">
      <c r="A673" t="s">
        <v>6807</v>
      </c>
    </row>
    <row r="674" spans="1:1" x14ac:dyDescent="0.2">
      <c r="A674" t="s">
        <v>6808</v>
      </c>
    </row>
    <row r="675" spans="1:1" x14ac:dyDescent="0.2">
      <c r="A675" t="s">
        <v>6809</v>
      </c>
    </row>
    <row r="676" spans="1:1" x14ac:dyDescent="0.2">
      <c r="A676" t="s">
        <v>6810</v>
      </c>
    </row>
    <row r="677" spans="1:1" x14ac:dyDescent="0.2">
      <c r="A677" t="s">
        <v>6811</v>
      </c>
    </row>
    <row r="678" spans="1:1" x14ac:dyDescent="0.2">
      <c r="A678" t="s">
        <v>6812</v>
      </c>
    </row>
    <row r="679" spans="1:1" x14ac:dyDescent="0.2">
      <c r="A679" t="s">
        <v>6813</v>
      </c>
    </row>
    <row r="680" spans="1:1" x14ac:dyDescent="0.2">
      <c r="A680" t="s">
        <v>6814</v>
      </c>
    </row>
    <row r="681" spans="1:1" x14ac:dyDescent="0.2">
      <c r="A681" t="s">
        <v>6815</v>
      </c>
    </row>
    <row r="682" spans="1:1" x14ac:dyDescent="0.2">
      <c r="A682" t="s">
        <v>6816</v>
      </c>
    </row>
    <row r="683" spans="1:1" x14ac:dyDescent="0.2">
      <c r="A683" t="s">
        <v>6817</v>
      </c>
    </row>
    <row r="684" spans="1:1" x14ac:dyDescent="0.2">
      <c r="A684" t="s">
        <v>6818</v>
      </c>
    </row>
    <row r="685" spans="1:1" x14ac:dyDescent="0.2">
      <c r="A685" t="s">
        <v>6819</v>
      </c>
    </row>
    <row r="686" spans="1:1" x14ac:dyDescent="0.2">
      <c r="A686" t="s">
        <v>6820</v>
      </c>
    </row>
    <row r="687" spans="1:1" x14ac:dyDescent="0.2">
      <c r="A687" t="s">
        <v>6821</v>
      </c>
    </row>
    <row r="688" spans="1:1" x14ac:dyDescent="0.2">
      <c r="A688" t="s">
        <v>6822</v>
      </c>
    </row>
    <row r="689" spans="1:1" x14ac:dyDescent="0.2">
      <c r="A689" t="s">
        <v>6823</v>
      </c>
    </row>
    <row r="690" spans="1:1" x14ac:dyDescent="0.2">
      <c r="A690" t="s">
        <v>6824</v>
      </c>
    </row>
    <row r="691" spans="1:1" x14ac:dyDescent="0.2">
      <c r="A691" t="s">
        <v>6825</v>
      </c>
    </row>
    <row r="692" spans="1:1" x14ac:dyDescent="0.2">
      <c r="A692" t="s">
        <v>6826</v>
      </c>
    </row>
    <row r="693" spans="1:1" x14ac:dyDescent="0.2">
      <c r="A693" t="s">
        <v>6827</v>
      </c>
    </row>
    <row r="694" spans="1:1" x14ac:dyDescent="0.2">
      <c r="A694" t="s">
        <v>6828</v>
      </c>
    </row>
    <row r="695" spans="1:1" x14ac:dyDescent="0.2">
      <c r="A695" t="s">
        <v>6829</v>
      </c>
    </row>
    <row r="696" spans="1:1" x14ac:dyDescent="0.2">
      <c r="A696" t="s">
        <v>6830</v>
      </c>
    </row>
    <row r="697" spans="1:1" x14ac:dyDescent="0.2">
      <c r="A697" t="s">
        <v>6831</v>
      </c>
    </row>
    <row r="698" spans="1:1" x14ac:dyDescent="0.2">
      <c r="A698" t="s">
        <v>6832</v>
      </c>
    </row>
    <row r="699" spans="1:1" x14ac:dyDescent="0.2">
      <c r="A699" t="s">
        <v>6833</v>
      </c>
    </row>
    <row r="700" spans="1:1" x14ac:dyDescent="0.2">
      <c r="A700" t="s">
        <v>6834</v>
      </c>
    </row>
    <row r="701" spans="1:1" x14ac:dyDescent="0.2">
      <c r="A701" t="s">
        <v>6835</v>
      </c>
    </row>
    <row r="702" spans="1:1" x14ac:dyDescent="0.2">
      <c r="A702" t="s">
        <v>6836</v>
      </c>
    </row>
    <row r="703" spans="1:1" x14ac:dyDescent="0.2">
      <c r="A703" t="s">
        <v>6837</v>
      </c>
    </row>
    <row r="704" spans="1:1" x14ac:dyDescent="0.2">
      <c r="A704" t="s">
        <v>6838</v>
      </c>
    </row>
    <row r="705" spans="1:1" x14ac:dyDescent="0.2">
      <c r="A705" t="s">
        <v>6839</v>
      </c>
    </row>
    <row r="706" spans="1:1" x14ac:dyDescent="0.2">
      <c r="A706" t="s">
        <v>6840</v>
      </c>
    </row>
    <row r="707" spans="1:1" x14ac:dyDescent="0.2">
      <c r="A707" t="s">
        <v>6841</v>
      </c>
    </row>
    <row r="708" spans="1:1" x14ac:dyDescent="0.2">
      <c r="A708" t="s">
        <v>6842</v>
      </c>
    </row>
    <row r="709" spans="1:1" x14ac:dyDescent="0.2">
      <c r="A709" t="s">
        <v>6843</v>
      </c>
    </row>
    <row r="710" spans="1:1" x14ac:dyDescent="0.2">
      <c r="A710" t="s">
        <v>6844</v>
      </c>
    </row>
    <row r="711" spans="1:1" x14ac:dyDescent="0.2">
      <c r="A711" t="s">
        <v>6845</v>
      </c>
    </row>
    <row r="712" spans="1:1" x14ac:dyDescent="0.2">
      <c r="A712" t="s">
        <v>6846</v>
      </c>
    </row>
    <row r="713" spans="1:1" x14ac:dyDescent="0.2">
      <c r="A713" t="s">
        <v>6847</v>
      </c>
    </row>
    <row r="714" spans="1:1" x14ac:dyDescent="0.2">
      <c r="A714" t="s">
        <v>6848</v>
      </c>
    </row>
    <row r="715" spans="1:1" x14ac:dyDescent="0.2">
      <c r="A715" t="s">
        <v>6849</v>
      </c>
    </row>
    <row r="716" spans="1:1" x14ac:dyDescent="0.2">
      <c r="A716" t="s">
        <v>6850</v>
      </c>
    </row>
    <row r="717" spans="1:1" x14ac:dyDescent="0.2">
      <c r="A717" t="s">
        <v>6851</v>
      </c>
    </row>
    <row r="718" spans="1:1" x14ac:dyDescent="0.2">
      <c r="A718" t="s">
        <v>6852</v>
      </c>
    </row>
    <row r="719" spans="1:1" x14ac:dyDescent="0.2">
      <c r="A719" t="s">
        <v>6853</v>
      </c>
    </row>
    <row r="720" spans="1:1" x14ac:dyDescent="0.2">
      <c r="A720" t="s">
        <v>6854</v>
      </c>
    </row>
    <row r="721" spans="1:1" x14ac:dyDescent="0.2">
      <c r="A721" t="s">
        <v>6855</v>
      </c>
    </row>
    <row r="722" spans="1:1" x14ac:dyDescent="0.2">
      <c r="A722" t="s">
        <v>6856</v>
      </c>
    </row>
    <row r="723" spans="1:1" x14ac:dyDescent="0.2">
      <c r="A723" t="s">
        <v>6857</v>
      </c>
    </row>
    <row r="724" spans="1:1" x14ac:dyDescent="0.2">
      <c r="A724" t="s">
        <v>6858</v>
      </c>
    </row>
    <row r="725" spans="1:1" x14ac:dyDescent="0.2">
      <c r="A725" t="s">
        <v>6859</v>
      </c>
    </row>
    <row r="726" spans="1:1" x14ac:dyDescent="0.2">
      <c r="A726" t="s">
        <v>6860</v>
      </c>
    </row>
    <row r="727" spans="1:1" x14ac:dyDescent="0.2">
      <c r="A727" t="s">
        <v>6861</v>
      </c>
    </row>
    <row r="728" spans="1:1" x14ac:dyDescent="0.2">
      <c r="A728" t="s">
        <v>6862</v>
      </c>
    </row>
    <row r="729" spans="1:1" x14ac:dyDescent="0.2">
      <c r="A729" t="s">
        <v>6863</v>
      </c>
    </row>
    <row r="730" spans="1:1" x14ac:dyDescent="0.2">
      <c r="A730" t="s">
        <v>6864</v>
      </c>
    </row>
    <row r="731" spans="1:1" x14ac:dyDescent="0.2">
      <c r="A731" t="s">
        <v>6865</v>
      </c>
    </row>
    <row r="732" spans="1:1" x14ac:dyDescent="0.2">
      <c r="A732" t="s">
        <v>6866</v>
      </c>
    </row>
    <row r="733" spans="1:1" x14ac:dyDescent="0.2">
      <c r="A733" t="s">
        <v>6867</v>
      </c>
    </row>
    <row r="734" spans="1:1" x14ac:dyDescent="0.2">
      <c r="A734" t="s">
        <v>6868</v>
      </c>
    </row>
    <row r="735" spans="1:1" x14ac:dyDescent="0.2">
      <c r="A735" t="s">
        <v>6869</v>
      </c>
    </row>
    <row r="736" spans="1:1" x14ac:dyDescent="0.2">
      <c r="A736" t="s">
        <v>6870</v>
      </c>
    </row>
    <row r="737" spans="1:1" x14ac:dyDescent="0.2">
      <c r="A737" t="s">
        <v>6871</v>
      </c>
    </row>
    <row r="738" spans="1:1" x14ac:dyDescent="0.2">
      <c r="A738" t="s">
        <v>6872</v>
      </c>
    </row>
    <row r="739" spans="1:1" x14ac:dyDescent="0.2">
      <c r="A739" t="s">
        <v>6873</v>
      </c>
    </row>
    <row r="740" spans="1:1" x14ac:dyDescent="0.2">
      <c r="A740" t="s">
        <v>6874</v>
      </c>
    </row>
    <row r="741" spans="1:1" x14ac:dyDescent="0.2">
      <c r="A741" t="s">
        <v>6875</v>
      </c>
    </row>
    <row r="742" spans="1:1" x14ac:dyDescent="0.2">
      <c r="A742" t="s">
        <v>6876</v>
      </c>
    </row>
    <row r="743" spans="1:1" x14ac:dyDescent="0.2">
      <c r="A743" t="s">
        <v>6877</v>
      </c>
    </row>
    <row r="744" spans="1:1" x14ac:dyDescent="0.2">
      <c r="A744" t="s">
        <v>6878</v>
      </c>
    </row>
    <row r="745" spans="1:1" x14ac:dyDescent="0.2">
      <c r="A745" t="s">
        <v>6879</v>
      </c>
    </row>
    <row r="746" spans="1:1" x14ac:dyDescent="0.2">
      <c r="A746" t="s">
        <v>6880</v>
      </c>
    </row>
    <row r="747" spans="1:1" x14ac:dyDescent="0.2">
      <c r="A747" t="s">
        <v>6881</v>
      </c>
    </row>
    <row r="748" spans="1:1" x14ac:dyDescent="0.2">
      <c r="A748" t="s">
        <v>6882</v>
      </c>
    </row>
    <row r="749" spans="1:1" x14ac:dyDescent="0.2">
      <c r="A749" t="s">
        <v>6883</v>
      </c>
    </row>
    <row r="750" spans="1:1" x14ac:dyDescent="0.2">
      <c r="A750" t="s">
        <v>6884</v>
      </c>
    </row>
    <row r="751" spans="1:1" x14ac:dyDescent="0.2">
      <c r="A751" t="s">
        <v>6885</v>
      </c>
    </row>
    <row r="752" spans="1:1" x14ac:dyDescent="0.2">
      <c r="A752" t="s">
        <v>6886</v>
      </c>
    </row>
    <row r="753" spans="1:1" x14ac:dyDescent="0.2">
      <c r="A753" t="s">
        <v>6887</v>
      </c>
    </row>
    <row r="754" spans="1:1" x14ac:dyDescent="0.2">
      <c r="A754" t="s">
        <v>6888</v>
      </c>
    </row>
    <row r="755" spans="1:1" x14ac:dyDescent="0.2">
      <c r="A755" t="s">
        <v>6889</v>
      </c>
    </row>
    <row r="756" spans="1:1" x14ac:dyDescent="0.2">
      <c r="A756" t="s">
        <v>6890</v>
      </c>
    </row>
    <row r="757" spans="1:1" x14ac:dyDescent="0.2">
      <c r="A757" t="s">
        <v>6891</v>
      </c>
    </row>
    <row r="758" spans="1:1" x14ac:dyDescent="0.2">
      <c r="A758" t="s">
        <v>6892</v>
      </c>
    </row>
    <row r="759" spans="1:1" x14ac:dyDescent="0.2">
      <c r="A759" t="s">
        <v>6893</v>
      </c>
    </row>
    <row r="760" spans="1:1" x14ac:dyDescent="0.2">
      <c r="A760" t="s">
        <v>6894</v>
      </c>
    </row>
    <row r="761" spans="1:1" x14ac:dyDescent="0.2">
      <c r="A761" t="s">
        <v>6895</v>
      </c>
    </row>
    <row r="762" spans="1:1" x14ac:dyDescent="0.2">
      <c r="A762" t="s">
        <v>6896</v>
      </c>
    </row>
    <row r="763" spans="1:1" x14ac:dyDescent="0.2">
      <c r="A763" t="s">
        <v>6897</v>
      </c>
    </row>
    <row r="764" spans="1:1" x14ac:dyDescent="0.2">
      <c r="A764" t="s">
        <v>6898</v>
      </c>
    </row>
    <row r="765" spans="1:1" x14ac:dyDescent="0.2">
      <c r="A765" t="s">
        <v>6899</v>
      </c>
    </row>
    <row r="766" spans="1:1" x14ac:dyDescent="0.2">
      <c r="A766" t="s">
        <v>6900</v>
      </c>
    </row>
    <row r="767" spans="1:1" x14ac:dyDescent="0.2">
      <c r="A767" t="s">
        <v>6901</v>
      </c>
    </row>
    <row r="768" spans="1:1" x14ac:dyDescent="0.2">
      <c r="A768" t="s">
        <v>6902</v>
      </c>
    </row>
    <row r="769" spans="1:1" x14ac:dyDescent="0.2">
      <c r="A769" t="s">
        <v>6903</v>
      </c>
    </row>
    <row r="770" spans="1:1" x14ac:dyDescent="0.2">
      <c r="A770" t="s">
        <v>6904</v>
      </c>
    </row>
    <row r="771" spans="1:1" x14ac:dyDescent="0.2">
      <c r="A771" t="s">
        <v>6905</v>
      </c>
    </row>
    <row r="772" spans="1:1" x14ac:dyDescent="0.2">
      <c r="A772" t="s">
        <v>6906</v>
      </c>
    </row>
    <row r="773" spans="1:1" x14ac:dyDescent="0.2">
      <c r="A773" t="s">
        <v>6907</v>
      </c>
    </row>
    <row r="774" spans="1:1" x14ac:dyDescent="0.2">
      <c r="A774" t="s">
        <v>6908</v>
      </c>
    </row>
    <row r="775" spans="1:1" x14ac:dyDescent="0.2">
      <c r="A775" t="s">
        <v>6909</v>
      </c>
    </row>
    <row r="776" spans="1:1" x14ac:dyDescent="0.2">
      <c r="A776" t="s">
        <v>6910</v>
      </c>
    </row>
    <row r="777" spans="1:1" x14ac:dyDescent="0.2">
      <c r="A777" t="s">
        <v>6911</v>
      </c>
    </row>
    <row r="778" spans="1:1" x14ac:dyDescent="0.2">
      <c r="A778" t="s">
        <v>6912</v>
      </c>
    </row>
    <row r="779" spans="1:1" x14ac:dyDescent="0.2">
      <c r="A779" t="s">
        <v>6913</v>
      </c>
    </row>
    <row r="780" spans="1:1" x14ac:dyDescent="0.2">
      <c r="A780" t="s">
        <v>6914</v>
      </c>
    </row>
    <row r="781" spans="1:1" x14ac:dyDescent="0.2">
      <c r="A781" t="s">
        <v>6915</v>
      </c>
    </row>
    <row r="782" spans="1:1" x14ac:dyDescent="0.2">
      <c r="A782" t="s">
        <v>6916</v>
      </c>
    </row>
    <row r="783" spans="1:1" x14ac:dyDescent="0.2">
      <c r="A783" t="s">
        <v>6917</v>
      </c>
    </row>
    <row r="784" spans="1:1" x14ac:dyDescent="0.2">
      <c r="A784" t="s">
        <v>6918</v>
      </c>
    </row>
    <row r="785" spans="1:1" x14ac:dyDescent="0.2">
      <c r="A785" t="s">
        <v>6919</v>
      </c>
    </row>
    <row r="786" spans="1:1" x14ac:dyDescent="0.2">
      <c r="A786" t="s">
        <v>6920</v>
      </c>
    </row>
    <row r="787" spans="1:1" x14ac:dyDescent="0.2">
      <c r="A787" t="s">
        <v>6921</v>
      </c>
    </row>
    <row r="788" spans="1:1" x14ac:dyDescent="0.2">
      <c r="A788" t="s">
        <v>6922</v>
      </c>
    </row>
    <row r="789" spans="1:1" x14ac:dyDescent="0.2">
      <c r="A789" t="s">
        <v>6923</v>
      </c>
    </row>
    <row r="790" spans="1:1" x14ac:dyDescent="0.2">
      <c r="A790" t="s">
        <v>6924</v>
      </c>
    </row>
    <row r="791" spans="1:1" x14ac:dyDescent="0.2">
      <c r="A791" t="s">
        <v>6925</v>
      </c>
    </row>
    <row r="792" spans="1:1" x14ac:dyDescent="0.2">
      <c r="A792" t="s">
        <v>6926</v>
      </c>
    </row>
    <row r="793" spans="1:1" x14ac:dyDescent="0.2">
      <c r="A793" t="s">
        <v>6927</v>
      </c>
    </row>
    <row r="794" spans="1:1" x14ac:dyDescent="0.2">
      <c r="A794" t="s">
        <v>6928</v>
      </c>
    </row>
    <row r="795" spans="1:1" x14ac:dyDescent="0.2">
      <c r="A795" t="s">
        <v>6929</v>
      </c>
    </row>
    <row r="796" spans="1:1" x14ac:dyDescent="0.2">
      <c r="A796" t="s">
        <v>6930</v>
      </c>
    </row>
    <row r="797" spans="1:1" x14ac:dyDescent="0.2">
      <c r="A797" t="s">
        <v>6931</v>
      </c>
    </row>
    <row r="798" spans="1:1" x14ac:dyDescent="0.2">
      <c r="A798" t="s">
        <v>6932</v>
      </c>
    </row>
    <row r="799" spans="1:1" x14ac:dyDescent="0.2">
      <c r="A799" t="s">
        <v>6933</v>
      </c>
    </row>
    <row r="800" spans="1:1" x14ac:dyDescent="0.2">
      <c r="A800" t="s">
        <v>6934</v>
      </c>
    </row>
    <row r="801" spans="1:1" x14ac:dyDescent="0.2">
      <c r="A801" t="s">
        <v>6935</v>
      </c>
    </row>
    <row r="802" spans="1:1" x14ac:dyDescent="0.2">
      <c r="A802" t="s">
        <v>6936</v>
      </c>
    </row>
    <row r="803" spans="1:1" x14ac:dyDescent="0.2">
      <c r="A803" t="s">
        <v>6937</v>
      </c>
    </row>
    <row r="804" spans="1:1" x14ac:dyDescent="0.2">
      <c r="A804" t="s">
        <v>6938</v>
      </c>
    </row>
    <row r="805" spans="1:1" x14ac:dyDescent="0.2">
      <c r="A805" t="s">
        <v>6939</v>
      </c>
    </row>
    <row r="806" spans="1:1" x14ac:dyDescent="0.2">
      <c r="A806" t="s">
        <v>6940</v>
      </c>
    </row>
    <row r="807" spans="1:1" x14ac:dyDescent="0.2">
      <c r="A807" t="s">
        <v>6941</v>
      </c>
    </row>
    <row r="808" spans="1:1" x14ac:dyDescent="0.2">
      <c r="A808" t="s">
        <v>6942</v>
      </c>
    </row>
    <row r="809" spans="1:1" x14ac:dyDescent="0.2">
      <c r="A809" t="s">
        <v>6943</v>
      </c>
    </row>
    <row r="810" spans="1:1" x14ac:dyDescent="0.2">
      <c r="A810" t="s">
        <v>6944</v>
      </c>
    </row>
    <row r="811" spans="1:1" x14ac:dyDescent="0.2">
      <c r="A811" t="s">
        <v>6945</v>
      </c>
    </row>
    <row r="812" spans="1:1" x14ac:dyDescent="0.2">
      <c r="A812" t="s">
        <v>6946</v>
      </c>
    </row>
    <row r="813" spans="1:1" x14ac:dyDescent="0.2">
      <c r="A813" t="s">
        <v>6947</v>
      </c>
    </row>
    <row r="814" spans="1:1" x14ac:dyDescent="0.2">
      <c r="A814" t="s">
        <v>6948</v>
      </c>
    </row>
    <row r="815" spans="1:1" x14ac:dyDescent="0.2">
      <c r="A815" t="s">
        <v>6949</v>
      </c>
    </row>
    <row r="816" spans="1:1" x14ac:dyDescent="0.2">
      <c r="A816" t="s">
        <v>6950</v>
      </c>
    </row>
    <row r="817" spans="1:1" x14ac:dyDescent="0.2">
      <c r="A817" t="s">
        <v>6951</v>
      </c>
    </row>
    <row r="818" spans="1:1" x14ac:dyDescent="0.2">
      <c r="A818" t="s">
        <v>6952</v>
      </c>
    </row>
    <row r="819" spans="1:1" x14ac:dyDescent="0.2">
      <c r="A819" t="s">
        <v>6953</v>
      </c>
    </row>
    <row r="820" spans="1:1" x14ac:dyDescent="0.2">
      <c r="A820" t="s">
        <v>6954</v>
      </c>
    </row>
    <row r="821" spans="1:1" x14ac:dyDescent="0.2">
      <c r="A821" t="s">
        <v>6955</v>
      </c>
    </row>
    <row r="822" spans="1:1" x14ac:dyDescent="0.2">
      <c r="A822" t="s">
        <v>6956</v>
      </c>
    </row>
    <row r="823" spans="1:1" x14ac:dyDescent="0.2">
      <c r="A823" t="s">
        <v>6957</v>
      </c>
    </row>
    <row r="824" spans="1:1" x14ac:dyDescent="0.2">
      <c r="A824" t="s">
        <v>6958</v>
      </c>
    </row>
    <row r="825" spans="1:1" x14ac:dyDescent="0.2">
      <c r="A825" t="s">
        <v>6959</v>
      </c>
    </row>
    <row r="826" spans="1:1" x14ac:dyDescent="0.2">
      <c r="A826" t="s">
        <v>6960</v>
      </c>
    </row>
    <row r="827" spans="1:1" x14ac:dyDescent="0.2">
      <c r="A827" t="s">
        <v>6961</v>
      </c>
    </row>
    <row r="828" spans="1:1" x14ac:dyDescent="0.2">
      <c r="A828" t="s">
        <v>6962</v>
      </c>
    </row>
    <row r="829" spans="1:1" x14ac:dyDescent="0.2">
      <c r="A829" t="s">
        <v>6963</v>
      </c>
    </row>
    <row r="830" spans="1:1" x14ac:dyDescent="0.2">
      <c r="A830" t="s">
        <v>6964</v>
      </c>
    </row>
    <row r="831" spans="1:1" x14ac:dyDescent="0.2">
      <c r="A831" t="s">
        <v>6965</v>
      </c>
    </row>
    <row r="832" spans="1:1" x14ac:dyDescent="0.2">
      <c r="A832" t="s">
        <v>6966</v>
      </c>
    </row>
    <row r="833" spans="1:1" x14ac:dyDescent="0.2">
      <c r="A833" t="s">
        <v>6967</v>
      </c>
    </row>
    <row r="834" spans="1:1" x14ac:dyDescent="0.2">
      <c r="A834" t="s">
        <v>6968</v>
      </c>
    </row>
    <row r="835" spans="1:1" x14ac:dyDescent="0.2">
      <c r="A835" t="s">
        <v>6969</v>
      </c>
    </row>
    <row r="836" spans="1:1" x14ac:dyDescent="0.2">
      <c r="A836" t="s">
        <v>6970</v>
      </c>
    </row>
    <row r="837" spans="1:1" x14ac:dyDescent="0.2">
      <c r="A837" t="s">
        <v>6971</v>
      </c>
    </row>
    <row r="838" spans="1:1" x14ac:dyDescent="0.2">
      <c r="A838" t="s">
        <v>6972</v>
      </c>
    </row>
    <row r="839" spans="1:1" x14ac:dyDescent="0.2">
      <c r="A839" t="s">
        <v>6973</v>
      </c>
    </row>
    <row r="840" spans="1:1" x14ac:dyDescent="0.2">
      <c r="A840" t="s">
        <v>6974</v>
      </c>
    </row>
    <row r="841" spans="1:1" x14ac:dyDescent="0.2">
      <c r="A841" t="s">
        <v>6975</v>
      </c>
    </row>
    <row r="842" spans="1:1" x14ac:dyDescent="0.2">
      <c r="A842" t="s">
        <v>6976</v>
      </c>
    </row>
    <row r="843" spans="1:1" x14ac:dyDescent="0.2">
      <c r="A843" t="s">
        <v>6977</v>
      </c>
    </row>
    <row r="844" spans="1:1" x14ac:dyDescent="0.2">
      <c r="A844" t="s">
        <v>6978</v>
      </c>
    </row>
    <row r="845" spans="1:1" x14ac:dyDescent="0.2">
      <c r="A845" t="s">
        <v>6979</v>
      </c>
    </row>
    <row r="846" spans="1:1" x14ac:dyDescent="0.2">
      <c r="A846" t="s">
        <v>6980</v>
      </c>
    </row>
    <row r="847" spans="1:1" x14ac:dyDescent="0.2">
      <c r="A847" t="s">
        <v>6981</v>
      </c>
    </row>
    <row r="848" spans="1:1" x14ac:dyDescent="0.2">
      <c r="A848" t="s">
        <v>6982</v>
      </c>
    </row>
    <row r="849" spans="1:1" x14ac:dyDescent="0.2">
      <c r="A849" t="s">
        <v>6983</v>
      </c>
    </row>
    <row r="850" spans="1:1" x14ac:dyDescent="0.2">
      <c r="A850" t="s">
        <v>6984</v>
      </c>
    </row>
    <row r="851" spans="1:1" x14ac:dyDescent="0.2">
      <c r="A851" t="s">
        <v>6985</v>
      </c>
    </row>
    <row r="852" spans="1:1" x14ac:dyDescent="0.2">
      <c r="A852" t="s">
        <v>6986</v>
      </c>
    </row>
    <row r="853" spans="1:1" x14ac:dyDescent="0.2">
      <c r="A853" t="s">
        <v>6987</v>
      </c>
    </row>
    <row r="854" spans="1:1" x14ac:dyDescent="0.2">
      <c r="A854" t="s">
        <v>6988</v>
      </c>
    </row>
    <row r="855" spans="1:1" x14ac:dyDescent="0.2">
      <c r="A855" t="s">
        <v>6989</v>
      </c>
    </row>
    <row r="856" spans="1:1" x14ac:dyDescent="0.2">
      <c r="A856" t="s">
        <v>6990</v>
      </c>
    </row>
    <row r="857" spans="1:1" x14ac:dyDescent="0.2">
      <c r="A857" t="s">
        <v>6991</v>
      </c>
    </row>
    <row r="858" spans="1:1" x14ac:dyDescent="0.2">
      <c r="A858" t="s">
        <v>6992</v>
      </c>
    </row>
    <row r="859" spans="1:1" x14ac:dyDescent="0.2">
      <c r="A859" t="s">
        <v>6993</v>
      </c>
    </row>
    <row r="860" spans="1:1" x14ac:dyDescent="0.2">
      <c r="A860" t="s">
        <v>6994</v>
      </c>
    </row>
    <row r="861" spans="1:1" x14ac:dyDescent="0.2">
      <c r="A861" t="s">
        <v>6995</v>
      </c>
    </row>
    <row r="862" spans="1:1" x14ac:dyDescent="0.2">
      <c r="A862" t="s">
        <v>6996</v>
      </c>
    </row>
    <row r="863" spans="1:1" x14ac:dyDescent="0.2">
      <c r="A863" t="s">
        <v>6997</v>
      </c>
    </row>
    <row r="864" spans="1:1" x14ac:dyDescent="0.2">
      <c r="A864" t="s">
        <v>6998</v>
      </c>
    </row>
    <row r="865" spans="1:1" x14ac:dyDescent="0.2">
      <c r="A865" t="s">
        <v>6999</v>
      </c>
    </row>
    <row r="866" spans="1:1" x14ac:dyDescent="0.2">
      <c r="A866" t="s">
        <v>7000</v>
      </c>
    </row>
    <row r="867" spans="1:1" x14ac:dyDescent="0.2">
      <c r="A867" t="s">
        <v>7001</v>
      </c>
    </row>
    <row r="868" spans="1:1" x14ac:dyDescent="0.2">
      <c r="A868" t="s">
        <v>7002</v>
      </c>
    </row>
    <row r="869" spans="1:1" x14ac:dyDescent="0.2">
      <c r="A869" t="s">
        <v>7003</v>
      </c>
    </row>
    <row r="870" spans="1:1" x14ac:dyDescent="0.2">
      <c r="A870" t="s">
        <v>7004</v>
      </c>
    </row>
    <row r="871" spans="1:1" x14ac:dyDescent="0.2">
      <c r="A871" t="s">
        <v>7005</v>
      </c>
    </row>
    <row r="872" spans="1:1" x14ac:dyDescent="0.2">
      <c r="A872" t="s">
        <v>7006</v>
      </c>
    </row>
    <row r="873" spans="1:1" x14ac:dyDescent="0.2">
      <c r="A873" t="s">
        <v>7007</v>
      </c>
    </row>
    <row r="874" spans="1:1" x14ac:dyDescent="0.2">
      <c r="A874" t="s">
        <v>7008</v>
      </c>
    </row>
    <row r="875" spans="1:1" x14ac:dyDescent="0.2">
      <c r="A875" t="s">
        <v>7009</v>
      </c>
    </row>
    <row r="876" spans="1:1" x14ac:dyDescent="0.2">
      <c r="A876" t="s">
        <v>7010</v>
      </c>
    </row>
    <row r="877" spans="1:1" x14ac:dyDescent="0.2">
      <c r="A877" t="s">
        <v>7011</v>
      </c>
    </row>
    <row r="878" spans="1:1" x14ac:dyDescent="0.2">
      <c r="A878" t="s">
        <v>7012</v>
      </c>
    </row>
    <row r="879" spans="1:1" x14ac:dyDescent="0.2">
      <c r="A879" t="s">
        <v>7013</v>
      </c>
    </row>
    <row r="880" spans="1:1" x14ac:dyDescent="0.2">
      <c r="A880" t="s">
        <v>7014</v>
      </c>
    </row>
    <row r="881" spans="1:1" x14ac:dyDescent="0.2">
      <c r="A881" t="s">
        <v>7015</v>
      </c>
    </row>
    <row r="882" spans="1:1" x14ac:dyDescent="0.2">
      <c r="A882" t="s">
        <v>7016</v>
      </c>
    </row>
    <row r="883" spans="1:1" x14ac:dyDescent="0.2">
      <c r="A883" t="s">
        <v>7017</v>
      </c>
    </row>
    <row r="884" spans="1:1" x14ac:dyDescent="0.2">
      <c r="A884" t="s">
        <v>7018</v>
      </c>
    </row>
    <row r="885" spans="1:1" x14ac:dyDescent="0.2">
      <c r="A885" t="s">
        <v>7019</v>
      </c>
    </row>
    <row r="886" spans="1:1" x14ac:dyDescent="0.2">
      <c r="A886" t="s">
        <v>7020</v>
      </c>
    </row>
    <row r="887" spans="1:1" x14ac:dyDescent="0.2">
      <c r="A887" t="s">
        <v>7021</v>
      </c>
    </row>
    <row r="888" spans="1:1" x14ac:dyDescent="0.2">
      <c r="A888" t="s">
        <v>7022</v>
      </c>
    </row>
    <row r="889" spans="1:1" x14ac:dyDescent="0.2">
      <c r="A889" t="s">
        <v>7023</v>
      </c>
    </row>
    <row r="890" spans="1:1" x14ac:dyDescent="0.2">
      <c r="A890" t="s">
        <v>7024</v>
      </c>
    </row>
    <row r="891" spans="1:1" x14ac:dyDescent="0.2">
      <c r="A891" t="s">
        <v>7025</v>
      </c>
    </row>
    <row r="892" spans="1:1" x14ac:dyDescent="0.2">
      <c r="A892" t="s">
        <v>7026</v>
      </c>
    </row>
    <row r="893" spans="1:1" x14ac:dyDescent="0.2">
      <c r="A893" t="s">
        <v>7027</v>
      </c>
    </row>
    <row r="894" spans="1:1" x14ac:dyDescent="0.2">
      <c r="A894" t="s">
        <v>7028</v>
      </c>
    </row>
    <row r="895" spans="1:1" x14ac:dyDescent="0.2">
      <c r="A895" t="s">
        <v>7029</v>
      </c>
    </row>
    <row r="896" spans="1:1" x14ac:dyDescent="0.2">
      <c r="A896" t="s">
        <v>7030</v>
      </c>
    </row>
    <row r="897" spans="1:1" x14ac:dyDescent="0.2">
      <c r="A897" t="s">
        <v>7031</v>
      </c>
    </row>
    <row r="898" spans="1:1" x14ac:dyDescent="0.2">
      <c r="A898" t="s">
        <v>7032</v>
      </c>
    </row>
    <row r="899" spans="1:1" x14ac:dyDescent="0.2">
      <c r="A899" t="s">
        <v>7033</v>
      </c>
    </row>
    <row r="900" spans="1:1" x14ac:dyDescent="0.2">
      <c r="A900" t="s">
        <v>7034</v>
      </c>
    </row>
    <row r="901" spans="1:1" x14ac:dyDescent="0.2">
      <c r="A901" t="s">
        <v>7035</v>
      </c>
    </row>
    <row r="902" spans="1:1" x14ac:dyDescent="0.2">
      <c r="A902" t="s">
        <v>7036</v>
      </c>
    </row>
    <row r="903" spans="1:1" x14ac:dyDescent="0.2">
      <c r="A903" t="s">
        <v>7037</v>
      </c>
    </row>
    <row r="904" spans="1:1" x14ac:dyDescent="0.2">
      <c r="A904" t="s">
        <v>7038</v>
      </c>
    </row>
    <row r="905" spans="1:1" x14ac:dyDescent="0.2">
      <c r="A905" t="s">
        <v>7039</v>
      </c>
    </row>
    <row r="906" spans="1:1" x14ac:dyDescent="0.2">
      <c r="A906" t="s">
        <v>7040</v>
      </c>
    </row>
    <row r="907" spans="1:1" x14ac:dyDescent="0.2">
      <c r="A907" t="s">
        <v>7041</v>
      </c>
    </row>
    <row r="908" spans="1:1" x14ac:dyDescent="0.2">
      <c r="A908" t="s">
        <v>7042</v>
      </c>
    </row>
    <row r="909" spans="1:1" x14ac:dyDescent="0.2">
      <c r="A909" t="s">
        <v>7043</v>
      </c>
    </row>
    <row r="910" spans="1:1" x14ac:dyDescent="0.2">
      <c r="A910" t="s">
        <v>7044</v>
      </c>
    </row>
    <row r="911" spans="1:1" x14ac:dyDescent="0.2">
      <c r="A911" t="s">
        <v>7045</v>
      </c>
    </row>
    <row r="912" spans="1:1" x14ac:dyDescent="0.2">
      <c r="A912" t="s">
        <v>7046</v>
      </c>
    </row>
    <row r="913" spans="1:1" x14ac:dyDescent="0.2">
      <c r="A913" t="s">
        <v>7047</v>
      </c>
    </row>
    <row r="914" spans="1:1" x14ac:dyDescent="0.2">
      <c r="A914" t="s">
        <v>7048</v>
      </c>
    </row>
    <row r="915" spans="1:1" x14ac:dyDescent="0.2">
      <c r="A915" t="s">
        <v>7049</v>
      </c>
    </row>
    <row r="916" spans="1:1" x14ac:dyDescent="0.2">
      <c r="A916" t="s">
        <v>7050</v>
      </c>
    </row>
    <row r="917" spans="1:1" x14ac:dyDescent="0.2">
      <c r="A917" t="s">
        <v>7051</v>
      </c>
    </row>
    <row r="918" spans="1:1" x14ac:dyDescent="0.2">
      <c r="A918" t="s">
        <v>7052</v>
      </c>
    </row>
    <row r="919" spans="1:1" x14ac:dyDescent="0.2">
      <c r="A919" t="s">
        <v>7053</v>
      </c>
    </row>
    <row r="920" spans="1:1" x14ac:dyDescent="0.2">
      <c r="A920" t="s">
        <v>7054</v>
      </c>
    </row>
    <row r="921" spans="1:1" x14ac:dyDescent="0.2">
      <c r="A921" t="s">
        <v>7055</v>
      </c>
    </row>
    <row r="922" spans="1:1" x14ac:dyDescent="0.2">
      <c r="A922" t="s">
        <v>7056</v>
      </c>
    </row>
    <row r="923" spans="1:1" x14ac:dyDescent="0.2">
      <c r="A923" t="s">
        <v>7057</v>
      </c>
    </row>
    <row r="924" spans="1:1" x14ac:dyDescent="0.2">
      <c r="A924" t="s">
        <v>7058</v>
      </c>
    </row>
    <row r="925" spans="1:1" x14ac:dyDescent="0.2">
      <c r="A925" t="s">
        <v>7059</v>
      </c>
    </row>
    <row r="926" spans="1:1" x14ac:dyDescent="0.2">
      <c r="A926" t="s">
        <v>7060</v>
      </c>
    </row>
    <row r="927" spans="1:1" x14ac:dyDescent="0.2">
      <c r="A927" t="s">
        <v>7061</v>
      </c>
    </row>
    <row r="928" spans="1:1" x14ac:dyDescent="0.2">
      <c r="A928" t="s">
        <v>7062</v>
      </c>
    </row>
    <row r="929" spans="1:1" x14ac:dyDescent="0.2">
      <c r="A929" t="s">
        <v>7063</v>
      </c>
    </row>
    <row r="930" spans="1:1" x14ac:dyDescent="0.2">
      <c r="A930" t="s">
        <v>7064</v>
      </c>
    </row>
    <row r="931" spans="1:1" x14ac:dyDescent="0.2">
      <c r="A931" t="s">
        <v>7065</v>
      </c>
    </row>
    <row r="932" spans="1:1" x14ac:dyDescent="0.2">
      <c r="A932" t="s">
        <v>7066</v>
      </c>
    </row>
    <row r="933" spans="1:1" x14ac:dyDescent="0.2">
      <c r="A933" t="s">
        <v>7067</v>
      </c>
    </row>
    <row r="934" spans="1:1" x14ac:dyDescent="0.2">
      <c r="A934" t="s">
        <v>7068</v>
      </c>
    </row>
    <row r="935" spans="1:1" x14ac:dyDescent="0.2">
      <c r="A935" t="s">
        <v>7069</v>
      </c>
    </row>
    <row r="936" spans="1:1" x14ac:dyDescent="0.2">
      <c r="A936" t="s">
        <v>7070</v>
      </c>
    </row>
    <row r="937" spans="1:1" x14ac:dyDescent="0.2">
      <c r="A937" t="s">
        <v>7071</v>
      </c>
    </row>
    <row r="938" spans="1:1" x14ac:dyDescent="0.2">
      <c r="A938" t="s">
        <v>7072</v>
      </c>
    </row>
    <row r="939" spans="1:1" x14ac:dyDescent="0.2">
      <c r="A939" t="s">
        <v>7073</v>
      </c>
    </row>
    <row r="940" spans="1:1" x14ac:dyDescent="0.2">
      <c r="A940" t="s">
        <v>7074</v>
      </c>
    </row>
    <row r="941" spans="1:1" x14ac:dyDescent="0.2">
      <c r="A941" t="s">
        <v>7075</v>
      </c>
    </row>
    <row r="942" spans="1:1" x14ac:dyDescent="0.2">
      <c r="A942" t="s">
        <v>7076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1</v>
      </c>
      <c r="D2" s="208" t="s">
        <v>5392</v>
      </c>
      <c r="E2" s="209" t="s">
        <v>2780</v>
      </c>
      <c r="G2" s="209" t="s">
        <v>3525</v>
      </c>
      <c r="H2" s="350" t="s">
        <v>3518</v>
      </c>
      <c r="I2" s="350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5393</v>
      </c>
      <c r="E3" s="209" t="s">
        <v>2781</v>
      </c>
      <c r="G3" s="209" t="s">
        <v>3522</v>
      </c>
      <c r="H3" s="370" t="s">
        <v>3522</v>
      </c>
      <c r="I3" s="370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1" t="s">
        <v>3530</v>
      </c>
      <c r="Q3" s="411" t="s">
        <v>3522</v>
      </c>
      <c r="R3" s="410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5394</v>
      </c>
      <c r="E4" s="209" t="s">
        <v>2782</v>
      </c>
      <c r="G4" s="209" t="s">
        <v>3521</v>
      </c>
      <c r="H4" s="673" t="s">
        <v>3521</v>
      </c>
      <c r="I4" s="673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75" t="s">
        <v>3530</v>
      </c>
      <c r="Q4" s="675" t="s">
        <v>3521</v>
      </c>
      <c r="R4" s="675"/>
    </row>
    <row r="5" spans="1:18" x14ac:dyDescent="0.2">
      <c r="A5" s="209" t="s">
        <v>891</v>
      </c>
      <c r="B5" s="209" t="s">
        <v>893</v>
      </c>
      <c r="C5" s="208"/>
      <c r="D5" s="208" t="s">
        <v>5395</v>
      </c>
      <c r="E5" s="209" t="s">
        <v>2783</v>
      </c>
      <c r="G5" s="209" t="s">
        <v>3519</v>
      </c>
      <c r="H5" s="643" t="s">
        <v>3519</v>
      </c>
      <c r="I5" s="643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44" t="s">
        <v>3530</v>
      </c>
      <c r="Q5" s="644" t="s">
        <v>3519</v>
      </c>
      <c r="R5" s="644"/>
    </row>
    <row r="6" spans="1:18" x14ac:dyDescent="0.2">
      <c r="A6" s="209" t="s">
        <v>894</v>
      </c>
      <c r="B6" s="209" t="s">
        <v>3530</v>
      </c>
      <c r="C6" s="208"/>
      <c r="D6" s="208" t="s">
        <v>5396</v>
      </c>
      <c r="E6" s="209" t="s">
        <v>2784</v>
      </c>
      <c r="G6" s="209" t="s">
        <v>3520</v>
      </c>
      <c r="H6" s="674" t="s">
        <v>3520</v>
      </c>
      <c r="I6" s="674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687" t="s">
        <v>3530</v>
      </c>
      <c r="Q6" s="687" t="s">
        <v>3520</v>
      </c>
      <c r="R6" s="687"/>
    </row>
    <row r="7" spans="1:18" x14ac:dyDescent="0.2">
      <c r="A7" s="209" t="s">
        <v>895</v>
      </c>
      <c r="B7" t="s">
        <v>896</v>
      </c>
      <c r="C7" s="208"/>
      <c r="D7" s="208" t="s">
        <v>5397</v>
      </c>
      <c r="E7" s="209" t="s">
        <v>2785</v>
      </c>
      <c r="G7" s="209" t="s">
        <v>3523</v>
      </c>
      <c r="H7" s="706" t="s">
        <v>3523</v>
      </c>
      <c r="I7" s="706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07" t="s">
        <v>3530</v>
      </c>
      <c r="Q7" s="707" t="s">
        <v>3523</v>
      </c>
      <c r="R7" s="707"/>
    </row>
    <row r="8" spans="1:18" x14ac:dyDescent="0.2">
      <c r="A8" s="209" t="s">
        <v>897</v>
      </c>
      <c r="B8" s="209" t="s">
        <v>898</v>
      </c>
      <c r="C8" s="208"/>
      <c r="D8" s="208" t="s">
        <v>5398</v>
      </c>
      <c r="E8" s="209" t="s">
        <v>2786</v>
      </c>
      <c r="G8" s="209" t="s">
        <v>3526</v>
      </c>
      <c r="H8" s="351" t="s">
        <v>89</v>
      </c>
      <c r="I8" s="351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68" t="s">
        <v>3530</v>
      </c>
      <c r="Q8" s="368" t="s">
        <v>3526</v>
      </c>
      <c r="R8" s="368"/>
    </row>
    <row r="9" spans="1:18" x14ac:dyDescent="0.2">
      <c r="A9" s="209" t="s">
        <v>899</v>
      </c>
      <c r="B9" t="s">
        <v>4977</v>
      </c>
      <c r="C9" s="208"/>
      <c r="D9" s="208" t="s">
        <v>5399</v>
      </c>
      <c r="E9" s="209" t="s">
        <v>2787</v>
      </c>
      <c r="G9" s="209" t="s">
        <v>3524</v>
      </c>
      <c r="H9" s="352" t="s">
        <v>3524</v>
      </c>
      <c r="I9" s="352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69" t="s">
        <v>3530</v>
      </c>
      <c r="Q9" s="369" t="s">
        <v>3524</v>
      </c>
      <c r="R9" s="369"/>
    </row>
    <row r="10" spans="1:18" x14ac:dyDescent="0.2">
      <c r="A10" s="209" t="s">
        <v>902</v>
      </c>
      <c r="B10" s="209" t="s">
        <v>4978</v>
      </c>
      <c r="C10" s="208"/>
      <c r="D10" s="208" t="s">
        <v>5400</v>
      </c>
      <c r="E10" s="209" t="s">
        <v>2788</v>
      </c>
      <c r="G10" s="209" t="s">
        <v>4532</v>
      </c>
      <c r="H10" s="503" t="s">
        <v>4532</v>
      </c>
      <c r="I10" s="503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5401</v>
      </c>
      <c r="E11" s="209" t="s">
        <v>2789</v>
      </c>
      <c r="G11" s="209" t="s">
        <v>3514</v>
      </c>
      <c r="H11" s="504" t="s">
        <v>3514</v>
      </c>
      <c r="I11" s="504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5402</v>
      </c>
      <c r="E12" s="209" t="s">
        <v>2790</v>
      </c>
      <c r="G12" s="209" t="s">
        <v>3515</v>
      </c>
      <c r="H12" s="505" t="s">
        <v>3515</v>
      </c>
      <c r="I12" s="505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5403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5404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5405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5406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5407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5408</v>
      </c>
      <c r="E18" s="209" t="s">
        <v>5231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5409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5410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5411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5331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5412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5413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5414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5415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5416</v>
      </c>
      <c r="E27" s="209" t="s">
        <v>5431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5417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5418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5419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5420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5421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5422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5423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5424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5425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5426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5427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5428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5429</v>
      </c>
      <c r="E40" s="209" t="s">
        <v>5432</v>
      </c>
      <c r="K40" s="209" t="s">
        <v>3534</v>
      </c>
      <c r="L40" s="209" t="s">
        <v>3526</v>
      </c>
    </row>
    <row r="41" spans="4:13" x14ac:dyDescent="0.2">
      <c r="D41" t="s">
        <v>5430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023" activePane="bottomLeft" state="frozen"/>
      <selection pane="bottomLeft" activeCell="B2034" sqref="B2034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4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hidden="1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hidden="1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5395</v>
      </c>
      <c r="F3" t="b">
        <v>0</v>
      </c>
      <c r="G3" t="b">
        <v>1</v>
      </c>
      <c r="H3" t="b">
        <v>0</v>
      </c>
      <c r="I3" t="b">
        <v>0</v>
      </c>
    </row>
    <row r="4" spans="1:9" hidden="1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hidden="1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hidden="1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6126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hidden="1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hidden="1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hidden="1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hidden="1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hidden="1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hidden="1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hidden="1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idden="1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hidden="1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hidden="1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hidden="1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hidden="1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hidden="1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hidden="1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hidden="1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hidden="1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hidden="1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hidden="1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hidden="1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hidden="1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hidden="1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hidden="1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hidden="1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hidden="1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hidden="1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hidden="1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hidden="1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hidden="1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hidden="1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hidden="1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hidden="1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hidden="1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hidden="1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hidden="1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hidden="1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hidden="1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hidden="1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hidden="1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hidden="1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hidden="1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hidden="1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hidden="1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hidden="1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hidden="1" x14ac:dyDescent="0.2">
      <c r="A54" t="s">
        <v>5448</v>
      </c>
      <c r="B54" t="s">
        <v>5449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hidden="1" x14ac:dyDescent="0.2">
      <c r="A55" t="s">
        <v>5450</v>
      </c>
      <c r="B55" t="s">
        <v>5451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hidden="1" x14ac:dyDescent="0.2">
      <c r="A56" t="s">
        <v>5452</v>
      </c>
      <c r="B56" t="s">
        <v>5453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hidden="1" x14ac:dyDescent="0.2">
      <c r="A57" t="s">
        <v>5454</v>
      </c>
      <c r="B57" t="s">
        <v>5455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hidden="1" x14ac:dyDescent="0.2">
      <c r="A58" t="s">
        <v>5456</v>
      </c>
      <c r="B58" t="s">
        <v>5457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hidden="1" x14ac:dyDescent="0.2">
      <c r="A59" t="s">
        <v>5458</v>
      </c>
      <c r="B59" t="s">
        <v>5459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hidden="1" x14ac:dyDescent="0.2">
      <c r="A60" t="s">
        <v>5460</v>
      </c>
      <c r="B60" t="s">
        <v>5461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hidden="1" x14ac:dyDescent="0.2">
      <c r="A61" t="s">
        <v>5462</v>
      </c>
      <c r="B61" t="s">
        <v>5463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hidden="1" x14ac:dyDescent="0.2">
      <c r="A62" t="s">
        <v>5464</v>
      </c>
      <c r="B62" t="s">
        <v>5465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hidden="1" x14ac:dyDescent="0.2">
      <c r="A63" t="s">
        <v>5466</v>
      </c>
      <c r="B63" t="s">
        <v>5467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hidden="1" x14ac:dyDescent="0.2">
      <c r="A64" t="s">
        <v>5468</v>
      </c>
      <c r="B64" t="s">
        <v>5469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hidden="1" x14ac:dyDescent="0.2">
      <c r="A65" t="s">
        <v>5470</v>
      </c>
      <c r="B65" t="s">
        <v>5471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hidden="1" x14ac:dyDescent="0.2">
      <c r="A66" t="s">
        <v>5472</v>
      </c>
      <c r="B66" t="s">
        <v>5473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hidden="1" x14ac:dyDescent="0.2">
      <c r="A67" t="s">
        <v>5474</v>
      </c>
      <c r="B67" t="s">
        <v>5475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hidden="1" x14ac:dyDescent="0.2">
      <c r="A68" t="s">
        <v>5476</v>
      </c>
      <c r="B68" t="s">
        <v>5477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hidden="1" x14ac:dyDescent="0.2">
      <c r="A69" t="s">
        <v>5478</v>
      </c>
      <c r="B69" t="s">
        <v>5479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hidden="1" x14ac:dyDescent="0.2">
      <c r="A70" t="s">
        <v>5480</v>
      </c>
      <c r="B70" t="s">
        <v>5481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hidden="1" x14ac:dyDescent="0.2">
      <c r="A71" t="s">
        <v>5482</v>
      </c>
      <c r="B71" t="s">
        <v>5483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hidden="1" x14ac:dyDescent="0.2">
      <c r="A72" t="s">
        <v>5484</v>
      </c>
      <c r="B72" t="s">
        <v>5485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hidden="1" x14ac:dyDescent="0.2">
      <c r="A73" t="s">
        <v>5486</v>
      </c>
      <c r="B73" t="s">
        <v>5487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hidden="1" x14ac:dyDescent="0.2">
      <c r="A74" t="s">
        <v>5488</v>
      </c>
      <c r="B74" t="s">
        <v>5489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hidden="1" x14ac:dyDescent="0.2">
      <c r="A75" t="s">
        <v>5490</v>
      </c>
      <c r="B75" t="s">
        <v>5491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hidden="1" x14ac:dyDescent="0.2">
      <c r="A76" t="s">
        <v>5492</v>
      </c>
      <c r="B76" t="s">
        <v>5493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hidden="1" x14ac:dyDescent="0.2">
      <c r="A77" t="s">
        <v>5494</v>
      </c>
      <c r="B77" t="s">
        <v>5495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hidden="1" x14ac:dyDescent="0.2">
      <c r="A78" t="s">
        <v>5496</v>
      </c>
      <c r="B78" t="s">
        <v>5497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hidden="1" x14ac:dyDescent="0.2">
      <c r="A79" t="s">
        <v>5498</v>
      </c>
      <c r="B79" t="s">
        <v>5499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hidden="1" x14ac:dyDescent="0.2">
      <c r="A80" t="s">
        <v>5500</v>
      </c>
      <c r="B80" t="s">
        <v>5501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hidden="1" x14ac:dyDescent="0.2">
      <c r="A81" t="s">
        <v>5502</v>
      </c>
      <c r="B81" t="s">
        <v>5503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hidden="1" x14ac:dyDescent="0.2">
      <c r="A82" t="s">
        <v>5504</v>
      </c>
      <c r="B82" t="s">
        <v>5505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hidden="1" x14ac:dyDescent="0.2">
      <c r="A83" t="s">
        <v>5506</v>
      </c>
      <c r="B83" t="s">
        <v>5507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hidden="1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hidden="1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hidden="1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hidden="1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hidden="1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hidden="1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hidden="1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hidden="1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hidden="1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hidden="1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hidden="1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hidden="1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hidden="1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hidden="1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hidden="1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hidden="1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hidden="1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hidden="1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hidden="1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hidden="1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hidden="1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hidden="1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hidden="1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hidden="1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hidden="1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hidden="1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hidden="1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hidden="1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hidden="1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hidden="1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hidden="1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hidden="1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hidden="1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hidden="1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hidden="1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hidden="1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hidden="1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hidden="1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hidden="1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hidden="1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hidden="1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hidden="1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hidden="1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hidden="1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hidden="1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hidden="1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hidden="1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hidden="1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hidden="1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hidden="1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hidden="1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hidden="1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hidden="1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hidden="1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hidden="1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hidden="1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hidden="1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hidden="1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hidden="1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hidden="1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hidden="1" x14ac:dyDescent="0.2">
      <c r="A144" t="s">
        <v>5508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hidden="1" x14ac:dyDescent="0.2">
      <c r="A145" t="s">
        <v>5509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hidden="1" x14ac:dyDescent="0.2">
      <c r="A146" t="s">
        <v>5510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hidden="1" x14ac:dyDescent="0.2">
      <c r="A147" t="s">
        <v>5511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hidden="1" x14ac:dyDescent="0.2">
      <c r="A148" t="s">
        <v>5512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hidden="1" x14ac:dyDescent="0.2">
      <c r="A149" t="s">
        <v>5513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hidden="1" x14ac:dyDescent="0.2">
      <c r="A150" t="s">
        <v>5514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hidden="1" x14ac:dyDescent="0.2">
      <c r="A151" t="s">
        <v>5515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hidden="1" x14ac:dyDescent="0.2">
      <c r="A152" t="s">
        <v>5516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hidden="1" x14ac:dyDescent="0.2">
      <c r="A153" t="s">
        <v>5517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hidden="1" x14ac:dyDescent="0.2">
      <c r="A154" t="s">
        <v>5518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hidden="1" x14ac:dyDescent="0.2">
      <c r="A155" t="s">
        <v>5519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hidden="1" x14ac:dyDescent="0.2">
      <c r="A156" t="s">
        <v>5520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hidden="1" x14ac:dyDescent="0.2">
      <c r="A157" t="s">
        <v>5521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hidden="1" x14ac:dyDescent="0.2">
      <c r="A158" t="s">
        <v>5522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hidden="1" x14ac:dyDescent="0.2">
      <c r="A159" t="s">
        <v>5523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hidden="1" x14ac:dyDescent="0.2">
      <c r="A160" t="s">
        <v>5524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hidden="1" x14ac:dyDescent="0.2">
      <c r="A161" t="s">
        <v>5525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hidden="1" x14ac:dyDescent="0.2">
      <c r="A162" t="s">
        <v>5526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hidden="1" x14ac:dyDescent="0.2">
      <c r="A163" t="s">
        <v>5527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hidden="1" x14ac:dyDescent="0.2">
      <c r="A164" t="s">
        <v>5528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hidden="1" x14ac:dyDescent="0.2">
      <c r="A165" t="s">
        <v>5529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hidden="1" x14ac:dyDescent="0.2">
      <c r="A166" t="s">
        <v>5530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hidden="1" x14ac:dyDescent="0.2">
      <c r="A167" t="s">
        <v>5531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hidden="1" x14ac:dyDescent="0.2">
      <c r="A168" t="s">
        <v>5532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hidden="1" x14ac:dyDescent="0.2">
      <c r="A169" t="s">
        <v>5533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hidden="1" x14ac:dyDescent="0.2">
      <c r="A170" t="s">
        <v>5534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hidden="1" x14ac:dyDescent="0.2">
      <c r="A171" t="s">
        <v>5535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hidden="1" x14ac:dyDescent="0.2">
      <c r="A172" t="s">
        <v>5536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hidden="1" x14ac:dyDescent="0.2">
      <c r="A173" t="s">
        <v>5537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hidden="1" x14ac:dyDescent="0.2">
      <c r="A174" t="s">
        <v>3118</v>
      </c>
      <c r="B174" t="s">
        <v>5827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hidden="1" x14ac:dyDescent="0.2">
      <c r="A175" t="s">
        <v>3119</v>
      </c>
      <c r="B175" t="s">
        <v>5829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hidden="1" x14ac:dyDescent="0.2">
      <c r="A176" t="s">
        <v>3120</v>
      </c>
      <c r="B176" t="s">
        <v>5831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hidden="1" x14ac:dyDescent="0.2">
      <c r="A177" t="s">
        <v>3121</v>
      </c>
      <c r="B177" t="s">
        <v>5833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hidden="1" x14ac:dyDescent="0.2">
      <c r="A178" t="s">
        <v>3122</v>
      </c>
      <c r="B178" t="s">
        <v>5835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hidden="1" x14ac:dyDescent="0.2">
      <c r="A179" t="s">
        <v>3123</v>
      </c>
      <c r="B179" t="s">
        <v>5837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hidden="1" x14ac:dyDescent="0.2">
      <c r="A180" t="s">
        <v>3124</v>
      </c>
      <c r="B180" t="s">
        <v>5839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hidden="1" x14ac:dyDescent="0.2">
      <c r="A181" t="s">
        <v>3125</v>
      </c>
      <c r="B181" t="s">
        <v>5841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hidden="1" x14ac:dyDescent="0.2">
      <c r="A182" t="s">
        <v>3126</v>
      </c>
      <c r="B182" t="s">
        <v>5843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hidden="1" x14ac:dyDescent="0.2">
      <c r="A183" t="s">
        <v>3127</v>
      </c>
      <c r="B183" t="s">
        <v>5845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hidden="1" x14ac:dyDescent="0.2">
      <c r="A184" t="s">
        <v>3128</v>
      </c>
      <c r="B184" t="s">
        <v>5847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hidden="1" x14ac:dyDescent="0.2">
      <c r="A185" t="s">
        <v>3129</v>
      </c>
      <c r="B185" t="s">
        <v>5849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hidden="1" x14ac:dyDescent="0.2">
      <c r="A186" t="s">
        <v>3130</v>
      </c>
      <c r="B186" t="s">
        <v>5851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hidden="1" x14ac:dyDescent="0.2">
      <c r="A187" t="s">
        <v>3131</v>
      </c>
      <c r="B187" t="s">
        <v>5853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hidden="1" x14ac:dyDescent="0.2">
      <c r="A188" t="s">
        <v>3132</v>
      </c>
      <c r="B188" t="s">
        <v>5855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hidden="1" x14ac:dyDescent="0.2">
      <c r="A189" t="s">
        <v>3133</v>
      </c>
      <c r="B189" t="s">
        <v>5857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hidden="1" x14ac:dyDescent="0.2">
      <c r="A190" t="s">
        <v>3134</v>
      </c>
      <c r="B190" t="s">
        <v>5859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hidden="1" x14ac:dyDescent="0.2">
      <c r="A191" t="s">
        <v>3135</v>
      </c>
      <c r="B191" t="s">
        <v>5861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hidden="1" x14ac:dyDescent="0.2">
      <c r="A192" t="s">
        <v>3136</v>
      </c>
      <c r="B192" t="s">
        <v>5863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hidden="1" x14ac:dyDescent="0.2">
      <c r="A193" t="s">
        <v>3137</v>
      </c>
      <c r="B193" t="s">
        <v>5865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hidden="1" x14ac:dyDescent="0.2">
      <c r="A194" t="s">
        <v>3138</v>
      </c>
      <c r="B194" t="s">
        <v>5867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hidden="1" x14ac:dyDescent="0.2">
      <c r="A195" t="s">
        <v>3139</v>
      </c>
      <c r="B195" t="s">
        <v>5869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hidden="1" x14ac:dyDescent="0.2">
      <c r="A196" t="s">
        <v>3140</v>
      </c>
      <c r="B196" t="s">
        <v>5871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hidden="1" x14ac:dyDescent="0.2">
      <c r="A197" t="s">
        <v>3141</v>
      </c>
      <c r="B197" t="s">
        <v>5873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hidden="1" x14ac:dyDescent="0.2">
      <c r="A198" t="s">
        <v>3142</v>
      </c>
      <c r="B198" t="s">
        <v>5875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hidden="1" x14ac:dyDescent="0.2">
      <c r="A199" t="s">
        <v>3143</v>
      </c>
      <c r="B199" t="s">
        <v>5877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hidden="1" x14ac:dyDescent="0.2">
      <c r="A200" t="s">
        <v>3144</v>
      </c>
      <c r="B200" t="s">
        <v>5879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hidden="1" x14ac:dyDescent="0.2">
      <c r="A201" t="s">
        <v>3145</v>
      </c>
      <c r="B201" t="s">
        <v>5881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hidden="1" x14ac:dyDescent="0.2">
      <c r="A202" t="s">
        <v>3146</v>
      </c>
      <c r="B202" t="s">
        <v>5883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hidden="1" x14ac:dyDescent="0.2">
      <c r="A203" t="s">
        <v>3147</v>
      </c>
      <c r="B203" t="s">
        <v>5885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hidden="1" x14ac:dyDescent="0.2">
      <c r="A204" t="s">
        <v>5826</v>
      </c>
      <c r="B204" t="s">
        <v>6096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hidden="1" x14ac:dyDescent="0.2">
      <c r="A205" t="s">
        <v>5828</v>
      </c>
      <c r="B205" t="s">
        <v>6097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hidden="1" x14ac:dyDescent="0.2">
      <c r="A206" t="s">
        <v>5830</v>
      </c>
      <c r="B206" t="s">
        <v>6098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hidden="1" x14ac:dyDescent="0.2">
      <c r="A207" t="s">
        <v>5832</v>
      </c>
      <c r="B207" t="s">
        <v>6099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hidden="1" x14ac:dyDescent="0.2">
      <c r="A208" t="s">
        <v>5834</v>
      </c>
      <c r="B208" t="s">
        <v>6100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hidden="1" x14ac:dyDescent="0.2">
      <c r="A209" t="s">
        <v>5836</v>
      </c>
      <c r="B209" t="s">
        <v>6101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hidden="1" x14ac:dyDescent="0.2">
      <c r="A210" t="s">
        <v>5838</v>
      </c>
      <c r="B210" t="s">
        <v>6102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hidden="1" x14ac:dyDescent="0.2">
      <c r="A211" t="s">
        <v>5840</v>
      </c>
      <c r="B211" t="s">
        <v>6103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hidden="1" x14ac:dyDescent="0.2">
      <c r="A212" t="s">
        <v>5842</v>
      </c>
      <c r="B212" t="s">
        <v>6104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hidden="1" x14ac:dyDescent="0.2">
      <c r="A213" t="s">
        <v>5844</v>
      </c>
      <c r="B213" t="s">
        <v>6105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hidden="1" x14ac:dyDescent="0.2">
      <c r="A214" t="s">
        <v>5846</v>
      </c>
      <c r="B214" t="s">
        <v>6106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hidden="1" x14ac:dyDescent="0.2">
      <c r="A215" t="s">
        <v>5848</v>
      </c>
      <c r="B215" t="s">
        <v>6107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hidden="1" x14ac:dyDescent="0.2">
      <c r="A216" t="s">
        <v>5850</v>
      </c>
      <c r="B216" t="s">
        <v>6108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hidden="1" x14ac:dyDescent="0.2">
      <c r="A217" t="s">
        <v>5852</v>
      </c>
      <c r="B217" t="s">
        <v>6109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hidden="1" x14ac:dyDescent="0.2">
      <c r="A218" t="s">
        <v>5854</v>
      </c>
      <c r="B218" t="s">
        <v>6110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hidden="1" x14ac:dyDescent="0.2">
      <c r="A219" t="s">
        <v>5856</v>
      </c>
      <c r="B219" t="s">
        <v>6111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hidden="1" x14ac:dyDescent="0.2">
      <c r="A220" t="s">
        <v>5858</v>
      </c>
      <c r="B220" t="s">
        <v>6112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hidden="1" x14ac:dyDescent="0.2">
      <c r="A221" t="s">
        <v>5860</v>
      </c>
      <c r="B221" t="s">
        <v>6113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hidden="1" x14ac:dyDescent="0.2">
      <c r="A222" t="s">
        <v>5862</v>
      </c>
      <c r="B222" t="s">
        <v>6114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hidden="1" x14ac:dyDescent="0.2">
      <c r="A223" t="s">
        <v>5864</v>
      </c>
      <c r="B223" t="s">
        <v>6115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hidden="1" x14ac:dyDescent="0.2">
      <c r="A224" t="s">
        <v>5866</v>
      </c>
      <c r="B224" t="s">
        <v>6116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hidden="1" x14ac:dyDescent="0.2">
      <c r="A225" t="s">
        <v>5868</v>
      </c>
      <c r="B225" t="s">
        <v>6117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hidden="1" x14ac:dyDescent="0.2">
      <c r="A226" t="s">
        <v>5870</v>
      </c>
      <c r="B226" t="s">
        <v>6118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hidden="1" x14ac:dyDescent="0.2">
      <c r="A227" t="s">
        <v>5872</v>
      </c>
      <c r="B227" t="s">
        <v>6119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hidden="1" x14ac:dyDescent="0.2">
      <c r="A228" t="s">
        <v>5874</v>
      </c>
      <c r="B228" t="s">
        <v>6120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hidden="1" x14ac:dyDescent="0.2">
      <c r="A229" t="s">
        <v>5876</v>
      </c>
      <c r="B229" t="s">
        <v>6121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hidden="1" x14ac:dyDescent="0.2">
      <c r="A230" t="s">
        <v>5878</v>
      </c>
      <c r="B230" t="s">
        <v>6122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hidden="1" x14ac:dyDescent="0.2">
      <c r="A231" t="s">
        <v>5880</v>
      </c>
      <c r="B231" t="s">
        <v>6123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hidden="1" x14ac:dyDescent="0.2">
      <c r="A232" t="s">
        <v>5882</v>
      </c>
      <c r="B232" t="s">
        <v>6124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hidden="1" x14ac:dyDescent="0.2">
      <c r="A233" t="s">
        <v>5884</v>
      </c>
      <c r="B233" t="s">
        <v>6125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hidden="1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hidden="1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hidden="1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hidden="1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hidden="1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hidden="1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hidden="1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hidden="1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hidden="1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hidden="1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hidden="1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hidden="1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hidden="1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hidden="1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hidden="1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hidden="1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hidden="1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hidden="1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hidden="1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hidden="1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hidden="1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hidden="1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hidden="1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hidden="1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hidden="1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hidden="1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hidden="1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hidden="1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hidden="1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hidden="1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hidden="1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hidden="1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hidden="1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hidden="1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hidden="1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hidden="1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hidden="1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hidden="1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hidden="1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hidden="1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hidden="1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hidden="1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hidden="1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hidden="1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hidden="1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hidden="1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hidden="1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hidden="1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hidden="1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hidden="1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hidden="1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hidden="1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hidden="1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hidden="1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hidden="1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hidden="1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hidden="1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hidden="1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hidden="1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hidden="1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hidden="1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hidden="1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hidden="1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hidden="1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hidden="1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hidden="1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hidden="1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hidden="1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hidden="1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hidden="1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hidden="1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hidden="1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hidden="1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hidden="1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hidden="1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hidden="1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hidden="1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hidden="1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hidden="1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hidden="1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hidden="1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hidden="1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hidden="1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hidden="1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hidden="1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hidden="1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hidden="1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hidden="1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hidden="1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hidden="1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hidden="1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hidden="1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hidden="1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hidden="1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hidden="1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hidden="1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hidden="1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hidden="1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hidden="1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hidden="1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hidden="1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hidden="1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hidden="1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hidden="1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hidden="1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hidden="1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hidden="1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hidden="1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hidden="1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hidden="1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hidden="1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hidden="1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hidden="1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hidden="1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hidden="1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hidden="1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hidden="1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hidden="1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hidden="1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hidden="1" x14ac:dyDescent="0.2">
      <c r="A354" t="s">
        <v>5538</v>
      </c>
      <c r="B354" t="s">
        <v>5539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hidden="1" x14ac:dyDescent="0.2">
      <c r="A355" t="s">
        <v>5540</v>
      </c>
      <c r="B355" t="s">
        <v>5541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hidden="1" x14ac:dyDescent="0.2">
      <c r="A356" t="s">
        <v>5542</v>
      </c>
      <c r="B356" t="s">
        <v>5543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hidden="1" x14ac:dyDescent="0.2">
      <c r="A357" t="s">
        <v>5544</v>
      </c>
      <c r="B357" t="s">
        <v>5545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hidden="1" x14ac:dyDescent="0.2">
      <c r="A358" t="s">
        <v>5546</v>
      </c>
      <c r="B358" t="s">
        <v>5547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hidden="1" x14ac:dyDescent="0.2">
      <c r="A359" t="s">
        <v>5548</v>
      </c>
      <c r="B359" t="s">
        <v>5549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hidden="1" x14ac:dyDescent="0.2">
      <c r="A360" t="s">
        <v>5550</v>
      </c>
      <c r="B360" t="s">
        <v>5551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hidden="1" x14ac:dyDescent="0.2">
      <c r="A361" t="s">
        <v>5552</v>
      </c>
      <c r="B361" t="s">
        <v>5553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hidden="1" x14ac:dyDescent="0.2">
      <c r="A362" t="s">
        <v>5554</v>
      </c>
      <c r="B362" t="s">
        <v>5555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hidden="1" x14ac:dyDescent="0.2">
      <c r="A363" t="s">
        <v>5556</v>
      </c>
      <c r="B363" t="s">
        <v>5557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hidden="1" x14ac:dyDescent="0.2">
      <c r="A364" t="s">
        <v>5558</v>
      </c>
      <c r="B364" t="s">
        <v>5559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hidden="1" x14ac:dyDescent="0.2">
      <c r="A365" t="s">
        <v>5560</v>
      </c>
      <c r="B365" t="s">
        <v>5561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hidden="1" x14ac:dyDescent="0.2">
      <c r="A366" t="s">
        <v>5562</v>
      </c>
      <c r="B366" t="s">
        <v>5563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hidden="1" x14ac:dyDescent="0.2">
      <c r="A367" t="s">
        <v>5564</v>
      </c>
      <c r="B367" t="s">
        <v>5565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hidden="1" x14ac:dyDescent="0.2">
      <c r="A368" t="s">
        <v>5566</v>
      </c>
      <c r="B368" t="s">
        <v>5567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hidden="1" x14ac:dyDescent="0.2">
      <c r="A369" t="s">
        <v>5568</v>
      </c>
      <c r="B369" t="s">
        <v>5569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hidden="1" x14ac:dyDescent="0.2">
      <c r="A370" t="s">
        <v>5570</v>
      </c>
      <c r="B370" t="s">
        <v>5571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hidden="1" x14ac:dyDescent="0.2">
      <c r="A371" t="s">
        <v>5572</v>
      </c>
      <c r="B371" t="s">
        <v>5573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hidden="1" x14ac:dyDescent="0.2">
      <c r="A372" t="s">
        <v>5574</v>
      </c>
      <c r="B372" t="s">
        <v>5575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hidden="1" x14ac:dyDescent="0.2">
      <c r="A373" t="s">
        <v>5576</v>
      </c>
      <c r="B373" t="s">
        <v>5577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hidden="1" x14ac:dyDescent="0.2">
      <c r="A374" t="s">
        <v>5578</v>
      </c>
      <c r="B374" t="s">
        <v>5579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hidden="1" x14ac:dyDescent="0.2">
      <c r="A375" t="s">
        <v>5580</v>
      </c>
      <c r="B375" t="s">
        <v>5581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hidden="1" x14ac:dyDescent="0.2">
      <c r="A376" t="s">
        <v>5582</v>
      </c>
      <c r="B376" t="s">
        <v>5583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hidden="1" x14ac:dyDescent="0.2">
      <c r="A377" t="s">
        <v>5584</v>
      </c>
      <c r="B377" t="s">
        <v>5585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hidden="1" x14ac:dyDescent="0.2">
      <c r="A378" t="s">
        <v>5586</v>
      </c>
      <c r="B378" t="s">
        <v>5587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hidden="1" x14ac:dyDescent="0.2">
      <c r="A379" t="s">
        <v>5588</v>
      </c>
      <c r="B379" t="s">
        <v>5589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hidden="1" x14ac:dyDescent="0.2">
      <c r="A380" t="s">
        <v>5590</v>
      </c>
      <c r="B380" t="s">
        <v>5591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hidden="1" x14ac:dyDescent="0.2">
      <c r="A381" t="s">
        <v>5592</v>
      </c>
      <c r="B381" t="s">
        <v>5593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hidden="1" x14ac:dyDescent="0.2">
      <c r="A382" t="s">
        <v>5594</v>
      </c>
      <c r="B382" t="s">
        <v>5595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hidden="1" x14ac:dyDescent="0.2">
      <c r="A383" t="s">
        <v>5596</v>
      </c>
      <c r="B383" t="s">
        <v>5597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hidden="1" x14ac:dyDescent="0.2">
      <c r="A384" t="s">
        <v>5886</v>
      </c>
      <c r="B384" t="s">
        <v>5887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hidden="1" x14ac:dyDescent="0.2">
      <c r="A385" t="s">
        <v>5888</v>
      </c>
      <c r="B385" t="s">
        <v>5889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hidden="1" x14ac:dyDescent="0.2">
      <c r="A386" t="s">
        <v>5890</v>
      </c>
      <c r="B386" t="s">
        <v>5891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hidden="1" x14ac:dyDescent="0.2">
      <c r="A387" t="s">
        <v>5892</v>
      </c>
      <c r="B387" t="s">
        <v>5893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hidden="1" x14ac:dyDescent="0.2">
      <c r="A388" t="s">
        <v>5894</v>
      </c>
      <c r="B388" t="s">
        <v>5895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hidden="1" x14ac:dyDescent="0.2">
      <c r="A389" t="s">
        <v>5896</v>
      </c>
      <c r="B389" t="s">
        <v>5897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hidden="1" x14ac:dyDescent="0.2">
      <c r="A390" t="s">
        <v>5898</v>
      </c>
      <c r="B390" t="s">
        <v>5899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hidden="1" x14ac:dyDescent="0.2">
      <c r="A391" t="s">
        <v>5900</v>
      </c>
      <c r="B391" t="s">
        <v>5901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hidden="1" x14ac:dyDescent="0.2">
      <c r="A392" t="s">
        <v>5902</v>
      </c>
      <c r="B392" t="s">
        <v>5903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hidden="1" x14ac:dyDescent="0.2">
      <c r="A393" t="s">
        <v>5904</v>
      </c>
      <c r="B393" t="s">
        <v>5905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hidden="1" x14ac:dyDescent="0.2">
      <c r="A394" t="s">
        <v>5906</v>
      </c>
      <c r="B394" t="s">
        <v>5907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hidden="1" x14ac:dyDescent="0.2">
      <c r="A395" t="s">
        <v>5908</v>
      </c>
      <c r="B395" t="s">
        <v>5909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hidden="1" x14ac:dyDescent="0.2">
      <c r="A396" t="s">
        <v>5910</v>
      </c>
      <c r="B396" t="s">
        <v>5911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hidden="1" x14ac:dyDescent="0.2">
      <c r="A397" t="s">
        <v>5912</v>
      </c>
      <c r="B397" t="s">
        <v>5913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hidden="1" x14ac:dyDescent="0.2">
      <c r="A398" t="s">
        <v>5914</v>
      </c>
      <c r="B398" t="s">
        <v>5915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hidden="1" x14ac:dyDescent="0.2">
      <c r="A399" t="s">
        <v>5916</v>
      </c>
      <c r="B399" t="s">
        <v>5917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hidden="1" x14ac:dyDescent="0.2">
      <c r="A400" t="s">
        <v>5918</v>
      </c>
      <c r="B400" t="s">
        <v>5919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hidden="1" x14ac:dyDescent="0.2">
      <c r="A401" t="s">
        <v>5920</v>
      </c>
      <c r="B401" t="s">
        <v>5921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hidden="1" x14ac:dyDescent="0.2">
      <c r="A402" t="s">
        <v>5922</v>
      </c>
      <c r="B402" t="s">
        <v>5923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hidden="1" x14ac:dyDescent="0.2">
      <c r="A403" t="s">
        <v>5924</v>
      </c>
      <c r="B403" t="s">
        <v>5925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hidden="1" x14ac:dyDescent="0.2">
      <c r="A404" t="s">
        <v>5926</v>
      </c>
      <c r="B404" t="s">
        <v>5927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hidden="1" x14ac:dyDescent="0.2">
      <c r="A405" t="s">
        <v>5928</v>
      </c>
      <c r="B405" t="s">
        <v>5929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hidden="1" x14ac:dyDescent="0.2">
      <c r="A406" t="s">
        <v>5930</v>
      </c>
      <c r="B406" t="s">
        <v>5931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hidden="1" x14ac:dyDescent="0.2">
      <c r="A407" t="s">
        <v>5932</v>
      </c>
      <c r="B407" t="s">
        <v>5933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hidden="1" x14ac:dyDescent="0.2">
      <c r="A408" t="s">
        <v>5934</v>
      </c>
      <c r="B408" t="s">
        <v>5935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hidden="1" x14ac:dyDescent="0.2">
      <c r="A409" t="s">
        <v>5936</v>
      </c>
      <c r="B409" t="s">
        <v>5937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hidden="1" x14ac:dyDescent="0.2">
      <c r="A410" t="s">
        <v>5938</v>
      </c>
      <c r="B410" t="s">
        <v>5939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hidden="1" x14ac:dyDescent="0.2">
      <c r="A411" t="s">
        <v>5940</v>
      </c>
      <c r="B411" t="s">
        <v>5941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hidden="1" x14ac:dyDescent="0.2">
      <c r="A412" t="s">
        <v>5942</v>
      </c>
      <c r="B412" t="s">
        <v>5943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hidden="1" x14ac:dyDescent="0.2">
      <c r="A413" t="s">
        <v>5944</v>
      </c>
      <c r="B413" t="s">
        <v>5945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hidden="1" x14ac:dyDescent="0.2">
      <c r="A414" t="s">
        <v>5598</v>
      </c>
      <c r="B414" t="s">
        <v>5599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hidden="1" x14ac:dyDescent="0.2">
      <c r="A415" t="s">
        <v>5600</v>
      </c>
      <c r="B415" t="s">
        <v>5601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hidden="1" x14ac:dyDescent="0.2">
      <c r="A416" t="s">
        <v>5602</v>
      </c>
      <c r="B416" t="s">
        <v>5603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hidden="1" x14ac:dyDescent="0.2">
      <c r="A417" t="s">
        <v>5604</v>
      </c>
      <c r="B417" t="s">
        <v>5605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hidden="1" x14ac:dyDescent="0.2">
      <c r="A418" t="s">
        <v>5606</v>
      </c>
      <c r="B418" t="s">
        <v>5607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hidden="1" x14ac:dyDescent="0.2">
      <c r="A419" t="s">
        <v>5608</v>
      </c>
      <c r="B419" t="s">
        <v>5609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hidden="1" x14ac:dyDescent="0.2">
      <c r="A420" t="s">
        <v>5610</v>
      </c>
      <c r="B420" t="s">
        <v>5611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hidden="1" x14ac:dyDescent="0.2">
      <c r="A421" t="s">
        <v>5612</v>
      </c>
      <c r="B421" t="s">
        <v>5613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hidden="1" x14ac:dyDescent="0.2">
      <c r="A422" t="s">
        <v>5614</v>
      </c>
      <c r="B422" t="s">
        <v>5615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hidden="1" x14ac:dyDescent="0.2">
      <c r="A423" t="s">
        <v>5616</v>
      </c>
      <c r="B423" t="s">
        <v>5617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hidden="1" x14ac:dyDescent="0.2">
      <c r="A424" t="s">
        <v>5618</v>
      </c>
      <c r="B424" t="s">
        <v>5619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hidden="1" x14ac:dyDescent="0.2">
      <c r="A425" t="s">
        <v>5620</v>
      </c>
      <c r="B425" t="s">
        <v>5621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hidden="1" x14ac:dyDescent="0.2">
      <c r="A426" t="s">
        <v>5622</v>
      </c>
      <c r="B426" t="s">
        <v>5623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hidden="1" x14ac:dyDescent="0.2">
      <c r="A427" t="s">
        <v>5624</v>
      </c>
      <c r="B427" t="s">
        <v>5625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hidden="1" x14ac:dyDescent="0.2">
      <c r="A428" t="s">
        <v>5626</v>
      </c>
      <c r="B428" t="s">
        <v>5627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hidden="1" x14ac:dyDescent="0.2">
      <c r="A429" t="s">
        <v>5628</v>
      </c>
      <c r="B429" t="s">
        <v>5629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hidden="1" x14ac:dyDescent="0.2">
      <c r="A430" t="s">
        <v>5630</v>
      </c>
      <c r="B430" t="s">
        <v>5631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hidden="1" x14ac:dyDescent="0.2">
      <c r="A431" t="s">
        <v>5632</v>
      </c>
      <c r="B431" t="s">
        <v>5633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hidden="1" x14ac:dyDescent="0.2">
      <c r="A432" t="s">
        <v>5634</v>
      </c>
      <c r="B432" t="s">
        <v>5635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hidden="1" x14ac:dyDescent="0.2">
      <c r="A433" t="s">
        <v>5636</v>
      </c>
      <c r="B433" t="s">
        <v>5637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hidden="1" x14ac:dyDescent="0.2">
      <c r="A434" t="s">
        <v>5638</v>
      </c>
      <c r="B434" t="s">
        <v>5639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hidden="1" x14ac:dyDescent="0.2">
      <c r="A435" t="s">
        <v>5640</v>
      </c>
      <c r="B435" t="s">
        <v>5641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hidden="1" x14ac:dyDescent="0.2">
      <c r="A436" t="s">
        <v>5642</v>
      </c>
      <c r="B436" t="s">
        <v>5643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hidden="1" x14ac:dyDescent="0.2">
      <c r="A437" t="s">
        <v>5644</v>
      </c>
      <c r="B437" t="s">
        <v>5645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hidden="1" x14ac:dyDescent="0.2">
      <c r="A438" t="s">
        <v>5646</v>
      </c>
      <c r="B438" t="s">
        <v>5647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hidden="1" x14ac:dyDescent="0.2">
      <c r="A439" t="s">
        <v>5648</v>
      </c>
      <c r="B439" t="s">
        <v>5649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hidden="1" x14ac:dyDescent="0.2">
      <c r="A440" t="s">
        <v>5650</v>
      </c>
      <c r="B440" t="s">
        <v>5651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hidden="1" x14ac:dyDescent="0.2">
      <c r="A441" t="s">
        <v>5652</v>
      </c>
      <c r="B441" t="s">
        <v>5653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hidden="1" x14ac:dyDescent="0.2">
      <c r="A442" t="s">
        <v>5654</v>
      </c>
      <c r="B442" t="s">
        <v>5655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hidden="1" x14ac:dyDescent="0.2">
      <c r="A443" t="s">
        <v>5656</v>
      </c>
      <c r="B443" t="s">
        <v>5657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hidden="1" x14ac:dyDescent="0.2">
      <c r="A444" t="s">
        <v>5946</v>
      </c>
      <c r="B444" t="s">
        <v>5947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hidden="1" x14ac:dyDescent="0.2">
      <c r="A445" t="s">
        <v>5948</v>
      </c>
      <c r="B445" t="s">
        <v>5949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hidden="1" x14ac:dyDescent="0.2">
      <c r="A446" t="s">
        <v>5950</v>
      </c>
      <c r="B446" t="s">
        <v>5951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hidden="1" x14ac:dyDescent="0.2">
      <c r="A447" t="s">
        <v>5952</v>
      </c>
      <c r="B447" t="s">
        <v>5953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hidden="1" x14ac:dyDescent="0.2">
      <c r="A448" t="s">
        <v>5954</v>
      </c>
      <c r="B448" t="s">
        <v>5955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hidden="1" x14ac:dyDescent="0.2">
      <c r="A449" t="s">
        <v>5956</v>
      </c>
      <c r="B449" t="s">
        <v>5957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hidden="1" x14ac:dyDescent="0.2">
      <c r="A450" t="s">
        <v>5958</v>
      </c>
      <c r="B450" t="s">
        <v>5959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hidden="1" x14ac:dyDescent="0.2">
      <c r="A451" t="s">
        <v>5960</v>
      </c>
      <c r="B451" t="s">
        <v>5961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hidden="1" x14ac:dyDescent="0.2">
      <c r="A452" t="s">
        <v>5962</v>
      </c>
      <c r="B452" t="s">
        <v>5963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hidden="1" x14ac:dyDescent="0.2">
      <c r="A453" t="s">
        <v>5964</v>
      </c>
      <c r="B453" t="s">
        <v>5965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hidden="1" x14ac:dyDescent="0.2">
      <c r="A454" t="s">
        <v>5966</v>
      </c>
      <c r="B454" t="s">
        <v>5967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hidden="1" x14ac:dyDescent="0.2">
      <c r="A455" t="s">
        <v>5968</v>
      </c>
      <c r="B455" t="s">
        <v>5969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hidden="1" x14ac:dyDescent="0.2">
      <c r="A456" t="s">
        <v>5970</v>
      </c>
      <c r="B456" t="s">
        <v>5971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hidden="1" x14ac:dyDescent="0.2">
      <c r="A457" t="s">
        <v>5972</v>
      </c>
      <c r="B457" t="s">
        <v>5973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hidden="1" x14ac:dyDescent="0.2">
      <c r="A458" t="s">
        <v>5974</v>
      </c>
      <c r="B458" t="s">
        <v>5975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hidden="1" x14ac:dyDescent="0.2">
      <c r="A459" t="s">
        <v>5976</v>
      </c>
      <c r="B459" t="s">
        <v>5977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hidden="1" x14ac:dyDescent="0.2">
      <c r="A460" t="s">
        <v>5978</v>
      </c>
      <c r="B460" t="s">
        <v>5979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hidden="1" x14ac:dyDescent="0.2">
      <c r="A461" t="s">
        <v>5980</v>
      </c>
      <c r="B461" t="s">
        <v>5981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hidden="1" x14ac:dyDescent="0.2">
      <c r="A462" t="s">
        <v>5982</v>
      </c>
      <c r="B462" t="s">
        <v>5983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hidden="1" x14ac:dyDescent="0.2">
      <c r="A463" t="s">
        <v>5984</v>
      </c>
      <c r="B463" t="s">
        <v>5985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hidden="1" x14ac:dyDescent="0.2">
      <c r="A464" t="s">
        <v>5986</v>
      </c>
      <c r="B464" t="s">
        <v>5987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hidden="1" x14ac:dyDescent="0.2">
      <c r="A465" t="s">
        <v>5988</v>
      </c>
      <c r="B465" t="s">
        <v>5989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hidden="1" x14ac:dyDescent="0.2">
      <c r="A466" t="s">
        <v>5990</v>
      </c>
      <c r="B466" t="s">
        <v>5991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hidden="1" x14ac:dyDescent="0.2">
      <c r="A467" t="s">
        <v>5992</v>
      </c>
      <c r="B467" t="s">
        <v>5993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hidden="1" x14ac:dyDescent="0.2">
      <c r="A468" t="s">
        <v>5994</v>
      </c>
      <c r="B468" t="s">
        <v>5995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hidden="1" x14ac:dyDescent="0.2">
      <c r="A469" t="s">
        <v>5996</v>
      </c>
      <c r="B469" t="s">
        <v>5997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hidden="1" x14ac:dyDescent="0.2">
      <c r="A470" t="s">
        <v>5998</v>
      </c>
      <c r="B470" t="s">
        <v>5999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hidden="1" x14ac:dyDescent="0.2">
      <c r="A471" t="s">
        <v>6000</v>
      </c>
      <c r="B471" t="s">
        <v>6001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hidden="1" x14ac:dyDescent="0.2">
      <c r="A472" t="s">
        <v>6002</v>
      </c>
      <c r="B472" t="s">
        <v>6003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hidden="1" x14ac:dyDescent="0.2">
      <c r="A473" t="s">
        <v>6004</v>
      </c>
      <c r="B473" t="s">
        <v>6005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hidden="1" x14ac:dyDescent="0.2">
      <c r="A474" t="s">
        <v>5658</v>
      </c>
      <c r="B474" t="s">
        <v>5659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hidden="1" x14ac:dyDescent="0.2">
      <c r="A475" t="s">
        <v>5660</v>
      </c>
      <c r="B475" t="s">
        <v>5661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hidden="1" x14ac:dyDescent="0.2">
      <c r="A476" t="s">
        <v>5662</v>
      </c>
      <c r="B476" t="s">
        <v>5663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hidden="1" x14ac:dyDescent="0.2">
      <c r="A477" t="s">
        <v>5664</v>
      </c>
      <c r="B477" t="s">
        <v>5665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hidden="1" x14ac:dyDescent="0.2">
      <c r="A478" t="s">
        <v>5666</v>
      </c>
      <c r="B478" t="s">
        <v>5667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hidden="1" x14ac:dyDescent="0.2">
      <c r="A479" t="s">
        <v>5668</v>
      </c>
      <c r="B479" t="s">
        <v>5669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hidden="1" x14ac:dyDescent="0.2">
      <c r="A480" t="s">
        <v>5670</v>
      </c>
      <c r="B480" t="s">
        <v>5671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hidden="1" x14ac:dyDescent="0.2">
      <c r="A481" t="s">
        <v>5672</v>
      </c>
      <c r="B481" t="s">
        <v>5673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hidden="1" x14ac:dyDescent="0.2">
      <c r="A482" t="s">
        <v>5674</v>
      </c>
      <c r="B482" t="s">
        <v>5675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hidden="1" x14ac:dyDescent="0.2">
      <c r="A483" t="s">
        <v>5676</v>
      </c>
      <c r="B483" t="s">
        <v>5677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hidden="1" x14ac:dyDescent="0.2">
      <c r="A484" t="s">
        <v>5678</v>
      </c>
      <c r="B484" t="s">
        <v>5679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hidden="1" x14ac:dyDescent="0.2">
      <c r="A485" t="s">
        <v>5680</v>
      </c>
      <c r="B485" t="s">
        <v>5681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hidden="1" x14ac:dyDescent="0.2">
      <c r="A486" t="s">
        <v>5682</v>
      </c>
      <c r="B486" t="s">
        <v>5683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hidden="1" x14ac:dyDescent="0.2">
      <c r="A487" t="s">
        <v>5684</v>
      </c>
      <c r="B487" t="s">
        <v>5685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hidden="1" x14ac:dyDescent="0.2">
      <c r="A488" t="s">
        <v>5686</v>
      </c>
      <c r="B488" t="s">
        <v>5687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hidden="1" x14ac:dyDescent="0.2">
      <c r="A489" t="s">
        <v>5688</v>
      </c>
      <c r="B489" t="s">
        <v>5689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hidden="1" x14ac:dyDescent="0.2">
      <c r="A490" t="s">
        <v>5690</v>
      </c>
      <c r="B490" t="s">
        <v>5691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hidden="1" x14ac:dyDescent="0.2">
      <c r="A491" t="s">
        <v>5692</v>
      </c>
      <c r="B491" t="s">
        <v>5693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hidden="1" x14ac:dyDescent="0.2">
      <c r="A492" t="s">
        <v>5694</v>
      </c>
      <c r="B492" t="s">
        <v>5695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hidden="1" x14ac:dyDescent="0.2">
      <c r="A493" t="s">
        <v>5696</v>
      </c>
      <c r="B493" t="s">
        <v>5697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hidden="1" x14ac:dyDescent="0.2">
      <c r="A494" t="s">
        <v>5698</v>
      </c>
      <c r="B494" t="s">
        <v>5699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hidden="1" x14ac:dyDescent="0.2">
      <c r="A495" t="s">
        <v>5700</v>
      </c>
      <c r="B495" t="s">
        <v>5701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hidden="1" x14ac:dyDescent="0.2">
      <c r="A496" t="s">
        <v>5702</v>
      </c>
      <c r="B496" t="s">
        <v>5703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hidden="1" x14ac:dyDescent="0.2">
      <c r="A497" t="s">
        <v>5704</v>
      </c>
      <c r="B497" t="s">
        <v>5705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hidden="1" x14ac:dyDescent="0.2">
      <c r="A498" t="s">
        <v>5706</v>
      </c>
      <c r="B498" t="s">
        <v>5707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hidden="1" x14ac:dyDescent="0.2">
      <c r="A499" t="s">
        <v>5708</v>
      </c>
      <c r="B499" t="s">
        <v>5709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hidden="1" x14ac:dyDescent="0.2">
      <c r="A500" t="s">
        <v>5710</v>
      </c>
      <c r="B500" t="s">
        <v>5711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hidden="1" x14ac:dyDescent="0.2">
      <c r="A501" t="s">
        <v>5712</v>
      </c>
      <c r="B501" t="s">
        <v>5713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hidden="1" x14ac:dyDescent="0.2">
      <c r="A502" t="s">
        <v>5714</v>
      </c>
      <c r="B502" t="s">
        <v>5715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hidden="1" x14ac:dyDescent="0.2">
      <c r="A503" t="s">
        <v>5716</v>
      </c>
      <c r="B503" t="s">
        <v>5717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hidden="1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hidden="1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hidden="1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hidden="1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hidden="1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hidden="1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hidden="1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hidden="1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hidden="1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hidden="1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hidden="1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hidden="1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hidden="1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hidden="1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hidden="1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hidden="1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hidden="1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hidden="1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hidden="1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hidden="1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hidden="1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hidden="1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hidden="1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hidden="1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hidden="1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hidden="1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hidden="1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hidden="1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hidden="1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hidden="1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hidden="1" x14ac:dyDescent="0.2">
      <c r="A534" t="s">
        <v>5718</v>
      </c>
      <c r="B534" t="s">
        <v>5719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hidden="1" x14ac:dyDescent="0.2">
      <c r="A535" t="s">
        <v>5720</v>
      </c>
      <c r="B535" t="s">
        <v>5721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hidden="1" x14ac:dyDescent="0.2">
      <c r="A536" t="s">
        <v>5722</v>
      </c>
      <c r="B536" t="s">
        <v>5723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hidden="1" x14ac:dyDescent="0.2">
      <c r="A537" t="s">
        <v>5724</v>
      </c>
      <c r="B537" t="s">
        <v>5725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hidden="1" x14ac:dyDescent="0.2">
      <c r="A538" t="s">
        <v>5726</v>
      </c>
      <c r="B538" t="s">
        <v>5727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hidden="1" x14ac:dyDescent="0.2">
      <c r="A539" t="s">
        <v>5728</v>
      </c>
      <c r="B539" t="s">
        <v>5729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hidden="1" x14ac:dyDescent="0.2">
      <c r="A540" t="s">
        <v>5730</v>
      </c>
      <c r="B540" t="s">
        <v>5731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hidden="1" x14ac:dyDescent="0.2">
      <c r="A541" t="s">
        <v>5732</v>
      </c>
      <c r="B541" t="s">
        <v>5733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hidden="1" x14ac:dyDescent="0.2">
      <c r="A542" t="s">
        <v>5734</v>
      </c>
      <c r="B542" t="s">
        <v>5735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hidden="1" x14ac:dyDescent="0.2">
      <c r="A543" t="s">
        <v>5736</v>
      </c>
      <c r="B543" t="s">
        <v>5737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hidden="1" x14ac:dyDescent="0.2">
      <c r="A544" t="s">
        <v>5738</v>
      </c>
      <c r="B544" t="s">
        <v>5739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hidden="1" x14ac:dyDescent="0.2">
      <c r="A545" t="s">
        <v>5740</v>
      </c>
      <c r="B545" t="s">
        <v>5741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hidden="1" x14ac:dyDescent="0.2">
      <c r="A546" t="s">
        <v>5742</v>
      </c>
      <c r="B546" t="s">
        <v>5743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hidden="1" x14ac:dyDescent="0.2">
      <c r="A547" t="s">
        <v>5744</v>
      </c>
      <c r="B547" t="s">
        <v>5745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hidden="1" x14ac:dyDescent="0.2">
      <c r="A548" t="s">
        <v>5746</v>
      </c>
      <c r="B548" t="s">
        <v>5747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hidden="1" x14ac:dyDescent="0.2">
      <c r="A549" t="s">
        <v>5748</v>
      </c>
      <c r="B549" t="s">
        <v>5749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hidden="1" x14ac:dyDescent="0.2">
      <c r="A550" t="s">
        <v>5750</v>
      </c>
      <c r="B550" t="s">
        <v>5751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hidden="1" x14ac:dyDescent="0.2">
      <c r="A551" t="s">
        <v>5752</v>
      </c>
      <c r="B551" t="s">
        <v>5753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hidden="1" x14ac:dyDescent="0.2">
      <c r="A552" t="s">
        <v>5754</v>
      </c>
      <c r="B552" t="s">
        <v>5755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hidden="1" x14ac:dyDescent="0.2">
      <c r="A553" t="s">
        <v>5756</v>
      </c>
      <c r="B553" t="s">
        <v>5757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hidden="1" x14ac:dyDescent="0.2">
      <c r="A554" t="s">
        <v>5758</v>
      </c>
      <c r="B554" t="s">
        <v>5759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hidden="1" x14ac:dyDescent="0.2">
      <c r="A555" t="s">
        <v>5760</v>
      </c>
      <c r="B555" t="s">
        <v>5761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hidden="1" x14ac:dyDescent="0.2">
      <c r="A556" t="s">
        <v>5762</v>
      </c>
      <c r="B556" t="s">
        <v>5763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hidden="1" x14ac:dyDescent="0.2">
      <c r="A557" t="s">
        <v>5764</v>
      </c>
      <c r="B557" t="s">
        <v>5765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hidden="1" x14ac:dyDescent="0.2">
      <c r="A558" t="s">
        <v>5766</v>
      </c>
      <c r="B558" t="s">
        <v>5767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hidden="1" x14ac:dyDescent="0.2">
      <c r="A559" t="s">
        <v>5768</v>
      </c>
      <c r="B559" t="s">
        <v>5769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hidden="1" x14ac:dyDescent="0.2">
      <c r="A560" t="s">
        <v>5770</v>
      </c>
      <c r="B560" t="s">
        <v>5771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hidden="1" x14ac:dyDescent="0.2">
      <c r="A561" t="s">
        <v>5772</v>
      </c>
      <c r="B561" t="s">
        <v>5773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hidden="1" x14ac:dyDescent="0.2">
      <c r="A562" t="s">
        <v>5774</v>
      </c>
      <c r="B562" t="s">
        <v>5775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hidden="1" x14ac:dyDescent="0.2">
      <c r="A563" t="s">
        <v>5776</v>
      </c>
      <c r="B563" t="s">
        <v>5777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hidden="1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hidden="1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hidden="1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hidden="1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hidden="1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hidden="1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hidden="1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hidden="1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hidden="1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hidden="1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hidden="1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hidden="1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hidden="1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hidden="1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hidden="1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hidden="1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hidden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hidden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hidden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hidden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hidden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hidden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hidden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hidden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hidden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hidden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hidden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hidden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hidden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hidden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hidden="1" x14ac:dyDescent="0.2">
      <c r="A594" t="s">
        <v>5778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hidden="1" x14ac:dyDescent="0.2">
      <c r="A595" t="s">
        <v>5779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hidden="1" x14ac:dyDescent="0.2">
      <c r="A596" t="s">
        <v>5780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hidden="1" x14ac:dyDescent="0.2">
      <c r="A597" t="s">
        <v>5781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hidden="1" x14ac:dyDescent="0.2">
      <c r="A598" t="s">
        <v>5782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hidden="1" x14ac:dyDescent="0.2">
      <c r="A599" t="s">
        <v>5783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hidden="1" x14ac:dyDescent="0.2">
      <c r="A600" t="s">
        <v>5784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hidden="1" x14ac:dyDescent="0.2">
      <c r="A601" t="s">
        <v>5785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hidden="1" x14ac:dyDescent="0.2">
      <c r="A602" t="s">
        <v>5786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hidden="1" x14ac:dyDescent="0.2">
      <c r="A603" t="s">
        <v>5787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hidden="1" x14ac:dyDescent="0.2">
      <c r="A604" t="s">
        <v>5788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hidden="1" x14ac:dyDescent="0.2">
      <c r="A605" t="s">
        <v>5789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hidden="1" x14ac:dyDescent="0.2">
      <c r="A606" t="s">
        <v>5790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hidden="1" x14ac:dyDescent="0.2">
      <c r="A607" t="s">
        <v>5791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hidden="1" x14ac:dyDescent="0.2">
      <c r="A608" t="s">
        <v>5792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hidden="1" x14ac:dyDescent="0.2">
      <c r="A609" t="s">
        <v>5793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hidden="1" x14ac:dyDescent="0.2">
      <c r="A610" t="s">
        <v>5794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hidden="1" x14ac:dyDescent="0.2">
      <c r="A611" t="s">
        <v>5795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hidden="1" x14ac:dyDescent="0.2">
      <c r="A612" t="s">
        <v>5796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hidden="1" x14ac:dyDescent="0.2">
      <c r="A613" t="s">
        <v>5797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hidden="1" x14ac:dyDescent="0.2">
      <c r="A614" t="s">
        <v>5798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hidden="1" x14ac:dyDescent="0.2">
      <c r="A615" t="s">
        <v>5799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hidden="1" x14ac:dyDescent="0.2">
      <c r="A616" t="s">
        <v>5800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hidden="1" x14ac:dyDescent="0.2">
      <c r="A617" t="s">
        <v>5801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hidden="1" x14ac:dyDescent="0.2">
      <c r="A618" t="s">
        <v>5802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hidden="1" x14ac:dyDescent="0.2">
      <c r="A619" t="s">
        <v>5803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hidden="1" x14ac:dyDescent="0.2">
      <c r="A620" t="s">
        <v>5804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hidden="1" x14ac:dyDescent="0.2">
      <c r="A621" t="s">
        <v>5805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hidden="1" x14ac:dyDescent="0.2">
      <c r="A622" t="s">
        <v>5806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hidden="1" x14ac:dyDescent="0.2">
      <c r="A623" t="s">
        <v>5807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hidden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hidden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hidden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hidden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hidden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hidden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hidden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hidden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hidden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hidden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hidden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hidden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hidden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hidden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hidden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hidden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hidden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hidden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hidden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hidden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hidden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hidden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hidden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hidden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hidden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hidden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hidden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hidden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hidden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hidden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hidden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hidden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hidden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hidden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hidden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hidden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hidden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hidden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hidden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hidden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hidden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hidden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hidden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hidden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hidden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hidden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hidden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hidden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hidden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hidden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hidden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hidden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hidden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hidden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hidden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hidden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hidden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hidden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hidden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hidden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hidden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hidden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hidden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hidden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hidden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hidden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hidden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hidden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hidden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hidden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hidden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hidden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hidden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hidden="1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hidden="1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hidden="1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hidden="1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hidden="1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hidden="1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hidden="1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hidden="1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hidden="1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hidden="1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hidden="1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hidden="1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hidden="1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hidden="1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hidden="1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hidden="1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hidden="1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hidden="1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hidden="1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hidden="1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hidden="1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hidden="1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hidden="1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hidden="1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hidden="1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hidden="1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hidden="1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hidden="1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hidden="1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hidden="1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hidden="1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hidden="1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hidden="1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hidden="1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hidden="1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hidden="1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hidden="1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hidden="1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hidden="1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hidden="1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hidden="1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hidden="1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hidden="1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hidden="1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hidden="1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hidden="1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hidden="1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hidden="1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hidden="1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hidden="1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hidden="1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hidden="1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hidden="1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hidden="1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hidden="1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hidden="1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hidden="1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hidden="1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hidden="1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hidden="1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hidden="1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hidden="1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hidden="1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hidden="1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hidden="1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hidden="1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hidden="1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hidden="1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hidden="1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hidden="1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hidden="1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hidden="1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hidden="1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hidden="1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hidden="1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hidden="1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hidden="1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hidden="1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hidden="1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hidden="1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hidden="1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hidden="1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hidden="1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hidden="1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hidden="1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hidden="1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hidden="1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hidden="1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hidden="1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hidden="1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hidden="1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hidden="1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hidden="1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hidden="1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hidden="1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hidden="1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hidden="1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hidden="1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hidden="1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hidden="1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hidden="1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hidden="1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hidden="1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hidden="1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hidden="1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hidden="1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hidden="1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hidden="1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hidden="1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hidden="1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hidden="1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hidden="1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hidden="1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hidden="1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hidden="1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hidden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hidden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hidden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hidden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hidden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hidden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hidden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hidden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hidden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hidden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hidden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hidden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hidden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hidden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hidden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hidden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hidden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hidden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hidden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hidden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hidden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hidden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hidden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hidden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hidden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hidden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hidden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hidden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hidden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hidden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hidden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hidden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hidden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hidden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hidden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hidden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hidden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hidden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hidden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hidden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hidden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hidden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hidden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hidden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hidden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hidden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hidden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hidden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hidden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hidden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hidden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hidden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hidden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hidden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hidden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hidden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hidden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hidden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hidden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hidden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hidden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hidden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hidden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hidden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hidden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hidden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hidden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hidden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hidden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hidden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hidden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hidden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hidden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hidden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hidden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hidden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hidden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hidden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hidden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hidden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hidden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hidden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hidden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hidden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hidden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hidden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hidden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hidden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hidden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hidden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hidden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hidden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hidden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hidden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hidden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hidden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hidden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hidden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hidden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hidden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hidden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hidden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hidden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hidden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hidden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hidden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hidden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hidden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hidden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hidden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hidden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hidden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hidden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hidden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hidden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hidden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hidden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hidden="1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hidden="1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hidden="1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hidden="1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hidden="1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hidden="1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hidden="1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hidden="1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hidden="1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hidden="1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hidden="1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hidden="1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hidden="1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hidden="1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hidden="1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hidden="1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hidden="1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hidden="1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hidden="1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hidden="1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hidden="1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hidden="1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hidden="1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hidden="1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hidden="1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hidden="1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hidden="1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hidden="1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hidden="1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hidden="1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hidden="1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hidden="1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hidden="1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hidden="1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hidden="1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hidden="1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hidden="1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hidden="1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hidden="1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hidden="1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hidden="1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hidden="1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hidden="1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hidden="1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hidden="1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hidden="1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hidden="1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hidden="1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hidden="1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hidden="1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hidden="1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hidden="1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hidden="1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hidden="1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hidden="1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hidden="1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hidden="1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hidden="1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hidden="1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hidden="1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hidden="1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hidden="1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hidden="1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hidden="1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hidden="1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hidden="1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hidden="1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hidden="1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hidden="1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hidden="1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hidden="1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hidden="1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hidden="1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hidden="1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hidden="1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hidden="1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hidden="1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hidden="1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hidden="1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hidden="1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hidden="1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hidden="1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hidden="1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hidden="1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hidden="1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hidden="1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hidden="1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hidden="1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hidden="1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hidden="1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hidden="1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hidden="1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hidden="1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hidden="1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hidden="1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hidden="1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hidden="1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hidden="1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hidden="1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hidden="1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hidden="1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hidden="1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hidden="1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hidden="1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hidden="1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hidden="1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hidden="1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hidden="1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hidden="1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hidden="1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hidden="1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hidden="1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hidden="1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hidden="1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hidden="1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hidden="1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hidden="1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hidden="1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hidden="1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hidden="1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hidden="1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hidden="1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hidden="1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hidden="1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hidden="1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hidden="1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hidden="1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hidden="1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hidden="1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hidden="1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hidden="1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hidden="1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hidden="1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hidden="1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hidden="1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hidden="1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hidden="1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hidden="1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hidden="1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hidden="1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hidden="1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hidden="1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hidden="1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hidden="1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hidden="1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hidden="1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hidden="1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hidden="1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hidden="1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hidden="1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hidden="1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hidden="1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hidden="1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hidden="1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hidden="1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hidden="1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hidden="1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hidden="1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hidden="1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hidden="1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hidden="1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hidden="1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hidden="1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hidden="1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hidden="1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hidden="1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hidden="1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hidden="1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hidden="1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hidden="1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hidden="1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hidden="1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hidden="1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hidden="1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hidden="1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hidden="1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hidden="1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hidden="1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hidden="1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hidden="1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hidden="1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hidden="1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hidden="1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hidden="1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hidden="1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hidden="1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hidden="1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hidden="1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hidden="1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hidden="1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hidden="1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hidden="1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hidden="1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hidden="1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hidden="1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hidden="1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hidden="1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hidden="1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hidden="1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hidden="1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hidden="1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hidden="1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hidden="1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hidden="1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hidden="1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hidden="1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hidden="1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hidden="1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hidden="1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hidden="1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hidden="1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hidden="1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hidden="1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hidden="1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hidden="1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hidden="1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hidden="1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hidden="1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hidden="1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hidden="1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hidden="1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hidden="1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hidden="1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hidden="1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hidden="1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hidden="1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hidden="1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hidden="1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hidden="1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hidden="1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hidden="1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hidden="1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hidden="1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hidden="1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hidden="1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hidden="1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hidden="1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hidden="1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hidden="1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hidden="1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hidden="1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hidden="1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hidden="1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hidden="1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hidden="1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hidden="1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hidden="1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hidden="1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hidden="1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hidden="1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hidden="1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hidden="1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hidden="1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hidden="1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hidden="1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hidden="1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hidden="1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hidden="1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hidden="1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hidden="1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hidden="1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hidden="1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hidden="1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hidden="1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hidden="1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hidden="1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hidden="1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hidden="1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hidden="1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hidden="1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hidden="1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hidden="1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hidden="1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hidden="1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hidden="1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hidden="1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hidden="1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hidden="1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hidden="1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hidden="1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hidden="1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hidden="1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hidden="1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hidden="1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hidden="1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hidden="1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hidden="1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hidden="1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hidden="1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hidden="1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hidden="1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hidden="1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hidden="1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hidden="1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hidden="1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hidden="1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hidden="1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hidden="1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hidden="1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hidden="1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hidden="1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hidden="1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hidden="1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hidden="1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hidden="1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hidden="1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hidden="1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hidden="1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hidden="1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hidden="1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hidden="1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hidden="1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hidden="1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hidden="1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hidden="1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hidden="1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hidden="1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hidden="1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hidden="1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hidden="1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hidden="1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hidden="1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hidden="1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hidden="1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hidden="1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hidden="1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hidden="1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hidden="1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hidden="1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hidden="1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hidden="1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hidden="1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hidden="1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hidden="1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hidden="1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hidden="1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hidden="1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hidden="1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hidden="1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hidden="1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hidden="1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hidden="1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hidden="1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hidden="1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hidden="1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hidden="1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hidden="1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hidden="1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hidden="1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hidden="1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hidden="1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hidden="1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hidden="1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hidden="1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hidden="1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hidden="1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hidden="1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hidden="1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hidden="1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hidden="1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hidden="1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hidden="1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hidden="1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hidden="1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hidden="1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hidden="1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hidden="1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hidden="1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hidden="1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hidden="1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hidden="1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hidden="1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hidden="1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hidden="1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hidden="1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hidden="1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hidden="1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hidden="1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hidden="1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hidden="1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hidden="1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hidden="1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hidden="1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hidden="1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hidden="1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hidden="1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hidden="1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hidden="1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hidden="1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hidden="1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hidden="1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hidden="1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hidden="1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hidden="1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hidden="1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hidden="1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hidden="1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hidden="1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hidden="1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hidden="1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hidden="1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hidden="1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hidden="1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hidden="1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hidden="1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hidden="1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hidden="1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hidden="1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hidden="1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hidden="1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hidden="1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hidden="1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hidden="1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hidden="1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hidden="1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hidden="1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hidden="1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hidden="1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hidden="1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hidden="1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hidden="1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hidden="1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hidden="1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hidden="1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hidden="1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hidden="1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hidden="1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hidden="1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hidden="1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hidden="1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hidden="1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hidden="1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hidden="1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hidden="1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hidden="1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hidden="1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hidden="1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hidden="1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hidden="1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hidden="1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hidden="1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hidden="1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hidden="1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hidden="1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hidden="1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hidden="1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hidden="1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hidden="1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hidden="1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hidden="1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hidden="1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hidden="1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hidden="1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hidden="1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hidden="1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hidden="1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hidden="1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hidden="1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hidden="1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hidden="1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hidden="1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hidden="1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hidden="1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hidden="1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hidden="1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hidden="1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hidden="1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hidden="1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hidden="1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hidden="1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hidden="1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hidden="1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hidden="1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hidden="1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hidden="1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hidden="1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hidden="1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hidden="1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hidden="1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hidden="1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hidden="1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hidden="1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hidden="1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hidden="1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hidden="1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hidden="1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hidden="1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hidden="1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hidden="1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hidden="1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hidden="1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hidden="1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hidden="1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hidden="1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hidden="1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hidden="1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hidden="1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hidden="1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hidden="1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hidden="1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hidden="1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hidden="1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hidden="1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hidden="1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hidden="1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hidden="1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hidden="1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hidden="1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hidden="1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hidden="1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hidden="1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hidden="1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hidden="1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hidden="1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hidden="1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hidden="1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hidden="1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hidden="1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hidden="1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hidden="1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hidden="1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hidden="1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hidden="1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hidden="1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hidden="1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hidden="1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hidden="1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hidden="1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hidden="1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hidden="1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hidden="1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hidden="1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hidden="1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hidden="1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hidden="1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hidden="1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hidden="1" x14ac:dyDescent="0.2">
      <c r="A1465" t="s">
        <v>3202</v>
      </c>
      <c r="B1465" t="s">
        <v>5287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hidden="1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hidden="1" x14ac:dyDescent="0.2">
      <c r="A1467" t="s">
        <v>5288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hidden="1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hidden="1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hidden="1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hidden="1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hidden="1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hidden="1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hidden="1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hidden="1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hidden="1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hidden="1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hidden="1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hidden="1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hidden="1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hidden="1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hidden="1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hidden="1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hidden="1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hidden="1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hidden="1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hidden="1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hidden="1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hidden="1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hidden="1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hidden="1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hidden="1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hidden="1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hidden="1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hidden="1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hidden="1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hidden="1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hidden="1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hidden="1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hidden="1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hidden="1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hidden="1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hidden="1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hidden="1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hidden="1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hidden="1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hidden="1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hidden="1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hidden="1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hidden="1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hidden="1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hidden="1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hidden="1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hidden="1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hidden="1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hidden="1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hidden="1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hidden="1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hidden="1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hidden="1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hidden="1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hidden="1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hidden="1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hidden="1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hidden="1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hidden="1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hidden="1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hidden="1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hidden="1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hidden="1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hidden="1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hidden="1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hidden="1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hidden="1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hidden="1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hidden="1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hidden="1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hidden="1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hidden="1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hidden="1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hidden="1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hidden="1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hidden="1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hidden="1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hidden="1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hidden="1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hidden="1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hidden="1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hidden="1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hidden="1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hidden="1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hidden="1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hidden="1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hidden="1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hidden="1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hidden="1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hidden="1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hidden="1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hidden="1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hidden="1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hidden="1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hidden="1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hidden="1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hidden="1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hidden="1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hidden="1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hidden="1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hidden="1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hidden="1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hidden="1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hidden="1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hidden="1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hidden="1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hidden="1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hidden="1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hidden="1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hidden="1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hidden="1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hidden="1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hidden="1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hidden="1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hidden="1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hidden="1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hidden="1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hidden="1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hidden="1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hidden="1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hidden="1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hidden="1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hidden="1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hidden="1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hidden="1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hidden="1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hidden="1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hidden="1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hidden="1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hidden="1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hidden="1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hidden="1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hidden="1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hidden="1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hidden="1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hidden="1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hidden="1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hidden="1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hidden="1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hidden="1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hidden="1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hidden="1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hidden="1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hidden="1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hidden="1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hidden="1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hidden="1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hidden="1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hidden="1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hidden="1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hidden="1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hidden="1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hidden="1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hidden="1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hidden="1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hidden="1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hidden="1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hidden="1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hidden="1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hidden="1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hidden="1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hidden="1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hidden="1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hidden="1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hidden="1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hidden="1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hidden="1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hidden="1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hidden="1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hidden="1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hidden="1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hidden="1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hidden="1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hidden="1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hidden="1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hidden="1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hidden="1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hidden="1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hidden="1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hidden="1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hidden="1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hidden="1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hidden="1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hidden="1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hidden="1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hidden="1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hidden="1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hidden="1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hidden="1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hidden="1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hidden="1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hidden="1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hidden="1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hidden="1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hidden="1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hidden="1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hidden="1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hidden="1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hidden="1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hidden="1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hidden="1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hidden="1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hidden="1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hidden="1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hidden="1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hidden="1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hidden="1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hidden="1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hidden="1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hidden="1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hidden="1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hidden="1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hidden="1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hidden="1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hidden="1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hidden="1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hidden="1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hidden="1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hidden="1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hidden="1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hidden="1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hidden="1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hidden="1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hidden="1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hidden="1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hidden="1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hidden="1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hidden="1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hidden="1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hidden="1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hidden="1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hidden="1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hidden="1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hidden="1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hidden="1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hidden="1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hidden="1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hidden="1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hidden="1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hidden="1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hidden="1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hidden="1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hidden="1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hidden="1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hidden="1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hidden="1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hidden="1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hidden="1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hidden="1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hidden="1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hidden="1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hidden="1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hidden="1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hidden="1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hidden="1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hidden="1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hidden="1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hidden="1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hidden="1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hidden="1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hidden="1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hidden="1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hidden="1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hidden="1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hidden="1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hidden="1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hidden="1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hidden="1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hidden="1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hidden="1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hidden="1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hidden="1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hidden="1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hidden="1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hidden="1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hidden="1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hidden="1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hidden="1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hidden="1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hidden="1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hidden="1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hidden="1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hidden="1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hidden="1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hidden="1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hidden="1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hidden="1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hidden="1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hidden="1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hidden="1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hidden="1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hidden="1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hidden="1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hidden="1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hidden="1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hidden="1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hidden="1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hidden="1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hidden="1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hidden="1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hidden="1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hidden="1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hidden="1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hidden="1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hidden="1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hidden="1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hidden="1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hidden="1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hidden="1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hidden="1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hidden="1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hidden="1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hidden="1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hidden="1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hidden="1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hidden="1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hidden="1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hidden="1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hidden="1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hidden="1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hidden="1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hidden="1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hidden="1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hidden="1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hidden="1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hidden="1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hidden="1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hidden="1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hidden="1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hidden="1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hidden="1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hidden="1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hidden="1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hidden="1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hidden="1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hidden="1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hidden="1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hidden="1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hidden="1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hidden="1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hidden="1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hidden="1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hidden="1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hidden="1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hidden="1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hidden="1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hidden="1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hidden="1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hidden="1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hidden="1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hidden="1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hidden="1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hidden="1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hidden="1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hidden="1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hidden="1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hidden="1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hidden="1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hidden="1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hidden="1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hidden="1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hidden="1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hidden="1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hidden="1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hidden="1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hidden="1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hidden="1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hidden="1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hidden="1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hidden="1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hidden="1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hidden="1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hidden="1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hidden="1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hidden="1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hidden="1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hidden="1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hidden="1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hidden="1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hidden="1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hidden="1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hidden="1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hidden="1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hidden="1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hidden="1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hidden="1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hidden="1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hidden="1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hidden="1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5289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5808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5809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5290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5291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5810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5292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x14ac:dyDescent="0.2">
      <c r="A2002" t="s">
        <v>5293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5811</v>
      </c>
      <c r="B2003" t="s">
        <v>5812</v>
      </c>
      <c r="D2003" t="b">
        <f>IFERROR(VLOOKUP(B2003,PatData!$A$2:$A$2000,1,),"")&lt;&gt;""</f>
        <v>0</v>
      </c>
      <c r="E2003" t="s">
        <v>5813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5814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5815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5816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5817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5818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x14ac:dyDescent="0.2">
      <c r="A2032" t="s">
        <v>5294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5820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5819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6006</v>
      </c>
      <c r="B2035" t="s">
        <v>6007</v>
      </c>
      <c r="D2035" t="b">
        <f>IFERROR(VLOOKUP(B2035,PatData!$A$2:$A$2000,1,),"")&lt;&gt;""</f>
        <v>0</v>
      </c>
      <c r="E2035" t="s">
        <v>6008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6009</v>
      </c>
      <c r="B2036" t="s">
        <v>6010</v>
      </c>
      <c r="D2036" t="b">
        <f>IFERROR(VLOOKUP(B2036,PatData!$A$2:$A$2000,1,),"")&lt;&gt;""</f>
        <v>0</v>
      </c>
      <c r="E2036" t="s">
        <v>6011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6012</v>
      </c>
      <c r="B2037" t="s">
        <v>6013</v>
      </c>
      <c r="D2037" t="b">
        <f>IFERROR(VLOOKUP(B2037,PatData!$A$2:$A$2000,1,),"")&lt;&gt;""</f>
        <v>0</v>
      </c>
      <c r="E2037" t="s">
        <v>6014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6015</v>
      </c>
      <c r="B2038" t="s">
        <v>6016</v>
      </c>
      <c r="D2038" t="b">
        <f>IFERROR(VLOOKUP(B2038,PatData!$A$2:$A$2000,1,),"")&lt;&gt;""</f>
        <v>0</v>
      </c>
      <c r="E2038" t="s">
        <v>6017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6018</v>
      </c>
      <c r="B2039" t="s">
        <v>6019</v>
      </c>
      <c r="D2039" t="b">
        <f>IFERROR(VLOOKUP(B2039,PatData!$A$2:$A$2000,1,),"")&lt;&gt;""</f>
        <v>0</v>
      </c>
      <c r="E2039" t="s">
        <v>6020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6021</v>
      </c>
      <c r="B2040" t="s">
        <v>6022</v>
      </c>
      <c r="D2040" t="b">
        <f>IFERROR(VLOOKUP(B2040,PatData!$A$2:$A$2000,1,),"")&lt;&gt;""</f>
        <v>0</v>
      </c>
      <c r="E2040" t="s">
        <v>6023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6024</v>
      </c>
      <c r="B2041" t="s">
        <v>6025</v>
      </c>
      <c r="D2041" t="b">
        <f>IFERROR(VLOOKUP(B2041,PatData!$A$2:$A$2000,1,),"")&lt;&gt;""</f>
        <v>0</v>
      </c>
      <c r="E2041" t="s">
        <v>6026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6027</v>
      </c>
      <c r="B2042" t="s">
        <v>6028</v>
      </c>
      <c r="D2042" t="b">
        <f>IFERROR(VLOOKUP(B2042,PatData!$A$2:$A$2000,1,),"")&lt;&gt;""</f>
        <v>0</v>
      </c>
      <c r="E2042" t="s">
        <v>6029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6030</v>
      </c>
      <c r="B2043" t="s">
        <v>6031</v>
      </c>
      <c r="D2043" t="b">
        <f>IFERROR(VLOOKUP(B2043,PatData!$A$2:$A$2000,1,),"")&lt;&gt;""</f>
        <v>0</v>
      </c>
      <c r="E2043" t="s">
        <v>6032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6033</v>
      </c>
      <c r="B2044" t="s">
        <v>6034</v>
      </c>
      <c r="D2044" t="b">
        <f>IFERROR(VLOOKUP(B2044,PatData!$A$2:$A$2000,1,),"")&lt;&gt;""</f>
        <v>0</v>
      </c>
      <c r="E2044" t="s">
        <v>6035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6036</v>
      </c>
      <c r="B2045" t="s">
        <v>6037</v>
      </c>
      <c r="D2045" t="b">
        <f>IFERROR(VLOOKUP(B2045,PatData!$A$2:$A$2000,1,),"")&lt;&gt;""</f>
        <v>0</v>
      </c>
      <c r="E2045" t="s">
        <v>6038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6039</v>
      </c>
      <c r="B2046" t="s">
        <v>6040</v>
      </c>
      <c r="D2046" t="b">
        <f>IFERROR(VLOOKUP(B2046,PatData!$A$2:$A$2000,1,),"")&lt;&gt;""</f>
        <v>0</v>
      </c>
      <c r="E2046" t="s">
        <v>6041</v>
      </c>
      <c r="F2046" t="b">
        <v>1</v>
      </c>
      <c r="G2046" t="b">
        <v>0</v>
      </c>
      <c r="H2046" t="b">
        <v>0</v>
      </c>
      <c r="I2046" t="b">
        <v>0</v>
      </c>
    </row>
    <row r="2047" spans="1:9" x14ac:dyDescent="0.2">
      <c r="A2047" t="s">
        <v>6042</v>
      </c>
      <c r="B2047" t="s">
        <v>6043</v>
      </c>
      <c r="D2047" t="b">
        <f>IFERROR(VLOOKUP(B2047,PatData!$A$2:$A$2000,1,),"")&lt;&gt;""</f>
        <v>0</v>
      </c>
      <c r="E2047" t="s">
        <v>6044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6045</v>
      </c>
      <c r="B2048" t="s">
        <v>6046</v>
      </c>
      <c r="D2048" t="b">
        <f>IFERROR(VLOOKUP(B2048,PatData!$A$2:$A$2000,1,),"")&lt;&gt;""</f>
        <v>0</v>
      </c>
      <c r="E2048" t="s">
        <v>6047</v>
      </c>
      <c r="F2048" t="b">
        <v>1</v>
      </c>
      <c r="G2048" t="b">
        <v>0</v>
      </c>
      <c r="H2048" t="b">
        <v>0</v>
      </c>
      <c r="I2048" t="b">
        <v>0</v>
      </c>
    </row>
    <row r="2049" spans="1:9" x14ac:dyDescent="0.2">
      <c r="A2049" t="s">
        <v>6048</v>
      </c>
      <c r="B2049" t="s">
        <v>6049</v>
      </c>
      <c r="D2049" t="b">
        <f>IFERROR(VLOOKUP(B2049,PatData!$A$2:$A$2000,1,),"")&lt;&gt;""</f>
        <v>0</v>
      </c>
      <c r="E2049" t="s">
        <v>6050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6051</v>
      </c>
      <c r="B2050" t="s">
        <v>6052</v>
      </c>
      <c r="D2050" t="b">
        <f>IFERROR(VLOOKUP(B2050,PatData!$A$2:$A$2000,1,),"")&lt;&gt;""</f>
        <v>0</v>
      </c>
      <c r="E2050" t="s">
        <v>6053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6054</v>
      </c>
      <c r="B2051" t="s">
        <v>6055</v>
      </c>
      <c r="D2051" t="b">
        <f>IFERROR(VLOOKUP(B2051,PatData!$A$2:$A$2000,1,),"")&lt;&gt;""</f>
        <v>0</v>
      </c>
      <c r="E2051" t="s">
        <v>6056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6057</v>
      </c>
      <c r="B2052" t="s">
        <v>6058</v>
      </c>
      <c r="D2052" t="b">
        <f>IFERROR(VLOOKUP(B2052,PatData!$A$2:$A$2000,1,),"")&lt;&gt;""</f>
        <v>0</v>
      </c>
      <c r="E2052" t="s">
        <v>6059</v>
      </c>
      <c r="F2052" t="b">
        <v>1</v>
      </c>
      <c r="G2052" t="b">
        <v>0</v>
      </c>
      <c r="H2052" t="b">
        <v>0</v>
      </c>
      <c r="I2052" t="b">
        <v>0</v>
      </c>
    </row>
    <row r="2053" spans="1:9" x14ac:dyDescent="0.2">
      <c r="A2053" t="s">
        <v>6060</v>
      </c>
      <c r="B2053" t="s">
        <v>6061</v>
      </c>
      <c r="D2053" t="b">
        <f>IFERROR(VLOOKUP(B2053,PatData!$A$2:$A$2000,1,),"")&lt;&gt;""</f>
        <v>0</v>
      </c>
      <c r="E2053" t="s">
        <v>6062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6063</v>
      </c>
      <c r="B2054" t="s">
        <v>6064</v>
      </c>
      <c r="D2054" t="b">
        <f>IFERROR(VLOOKUP(B2054,PatData!$A$2:$A$2000,1,),"")&lt;&gt;""</f>
        <v>0</v>
      </c>
      <c r="E2054" t="s">
        <v>6065</v>
      </c>
      <c r="F2054" t="b">
        <v>1</v>
      </c>
      <c r="G2054" t="b">
        <v>0</v>
      </c>
      <c r="H2054" t="b">
        <v>0</v>
      </c>
      <c r="I2054" t="b">
        <v>0</v>
      </c>
    </row>
    <row r="2055" spans="1:9" x14ac:dyDescent="0.2">
      <c r="A2055" t="s">
        <v>6066</v>
      </c>
      <c r="B2055" t="s">
        <v>6067</v>
      </c>
      <c r="D2055" t="b">
        <f>IFERROR(VLOOKUP(B2055,PatData!$A$2:$A$2000,1,),"")&lt;&gt;""</f>
        <v>0</v>
      </c>
      <c r="E2055" t="s">
        <v>6068</v>
      </c>
      <c r="F2055" t="b">
        <v>1</v>
      </c>
      <c r="G2055" t="b">
        <v>0</v>
      </c>
      <c r="H2055" t="b">
        <v>0</v>
      </c>
      <c r="I2055" t="b">
        <v>0</v>
      </c>
    </row>
    <row r="2056" spans="1:9" x14ac:dyDescent="0.2">
      <c r="A2056" t="s">
        <v>6069</v>
      </c>
      <c r="B2056" t="s">
        <v>6070</v>
      </c>
      <c r="D2056" t="b">
        <f>IFERROR(VLOOKUP(B2056,PatData!$A$2:$A$2000,1,),"")&lt;&gt;""</f>
        <v>0</v>
      </c>
      <c r="E2056" t="s">
        <v>6071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6072</v>
      </c>
      <c r="B2057" t="s">
        <v>6073</v>
      </c>
      <c r="D2057" t="b">
        <f>IFERROR(VLOOKUP(B2057,PatData!$A$2:$A$2000,1,),"")&lt;&gt;""</f>
        <v>0</v>
      </c>
      <c r="E2057" t="s">
        <v>6074</v>
      </c>
      <c r="F2057" t="b">
        <v>1</v>
      </c>
      <c r="G2057" t="b">
        <v>0</v>
      </c>
      <c r="H2057" t="b">
        <v>0</v>
      </c>
      <c r="I2057" t="b">
        <v>0</v>
      </c>
    </row>
    <row r="2058" spans="1:9" x14ac:dyDescent="0.2">
      <c r="A2058" t="s">
        <v>6075</v>
      </c>
      <c r="B2058" t="s">
        <v>6076</v>
      </c>
      <c r="D2058" t="b">
        <f>IFERROR(VLOOKUP(B2058,PatData!$A$2:$A$2000,1,),"")&lt;&gt;""</f>
        <v>0</v>
      </c>
      <c r="E2058" t="s">
        <v>6077</v>
      </c>
      <c r="F2058" t="b">
        <v>1</v>
      </c>
      <c r="G2058" t="b">
        <v>0</v>
      </c>
      <c r="H2058" t="b">
        <v>0</v>
      </c>
      <c r="I2058" t="b">
        <v>0</v>
      </c>
    </row>
    <row r="2059" spans="1:9" x14ac:dyDescent="0.2">
      <c r="A2059" t="s">
        <v>6078</v>
      </c>
      <c r="B2059" t="s">
        <v>6079</v>
      </c>
      <c r="D2059" t="b">
        <f>IFERROR(VLOOKUP(B2059,PatData!$A$2:$A$2000,1,),"")&lt;&gt;""</f>
        <v>0</v>
      </c>
      <c r="E2059" t="s">
        <v>6080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6081</v>
      </c>
      <c r="B2060" t="s">
        <v>6082</v>
      </c>
      <c r="D2060" t="b">
        <f>IFERROR(VLOOKUP(B2060,PatData!$A$2:$A$2000,1,),"")&lt;&gt;""</f>
        <v>0</v>
      </c>
      <c r="E2060" t="s">
        <v>6083</v>
      </c>
      <c r="F2060" t="b">
        <v>1</v>
      </c>
      <c r="G2060" t="b">
        <v>0</v>
      </c>
      <c r="H2060" t="b">
        <v>0</v>
      </c>
      <c r="I2060" t="b">
        <v>0</v>
      </c>
    </row>
    <row r="2061" spans="1:9" x14ac:dyDescent="0.2">
      <c r="A2061" t="s">
        <v>6084</v>
      </c>
      <c r="B2061" t="s">
        <v>6085</v>
      </c>
      <c r="D2061" t="b">
        <f>IFERROR(VLOOKUP(B2061,PatData!$A$2:$A$2000,1,),"")&lt;&gt;""</f>
        <v>0</v>
      </c>
      <c r="E2061" t="s">
        <v>6086</v>
      </c>
      <c r="F2061" t="b">
        <v>1</v>
      </c>
      <c r="G2061" t="b">
        <v>0</v>
      </c>
      <c r="H2061" t="b">
        <v>0</v>
      </c>
      <c r="I2061" t="b">
        <v>0</v>
      </c>
    </row>
    <row r="2062" spans="1:9" x14ac:dyDescent="0.2">
      <c r="A2062" t="s">
        <v>6087</v>
      </c>
      <c r="B2062" t="s">
        <v>6088</v>
      </c>
      <c r="D2062" t="b">
        <f>IFERROR(VLOOKUP(B2062,PatData!$A$2:$A$2000,1,),"")&lt;&gt;""</f>
        <v>0</v>
      </c>
      <c r="E2062" t="s">
        <v>6089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6090</v>
      </c>
      <c r="B2063" t="s">
        <v>6091</v>
      </c>
      <c r="D2063" t="b">
        <f>IFERROR(VLOOKUP(B2063,PatData!$A$2:$A$2000,1,),"")&lt;&gt;""</f>
        <v>0</v>
      </c>
      <c r="E2063" t="s">
        <v>6092</v>
      </c>
      <c r="F2063" t="b">
        <v>1</v>
      </c>
      <c r="G2063" t="b">
        <v>0</v>
      </c>
      <c r="H2063" t="b">
        <v>0</v>
      </c>
      <c r="I2063" t="b">
        <v>0</v>
      </c>
    </row>
    <row r="2064" spans="1:9" x14ac:dyDescent="0.2">
      <c r="A2064" t="s">
        <v>6093</v>
      </c>
      <c r="B2064" t="s">
        <v>6094</v>
      </c>
      <c r="D2064" t="b">
        <f>IFERROR(VLOOKUP(B2064,PatData!$A$2:$A$2000,1,),"")&lt;&gt;""</f>
        <v>0</v>
      </c>
      <c r="E2064" t="s">
        <v>6095</v>
      </c>
      <c r="F2064" t="b">
        <v>1</v>
      </c>
      <c r="G2064" t="b">
        <v>0</v>
      </c>
      <c r="H2064" t="b">
        <v>0</v>
      </c>
      <c r="I2064" t="b">
        <v>0</v>
      </c>
    </row>
    <row r="2065" spans="1:9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x14ac:dyDescent="0.2">
      <c r="A2072" t="s">
        <v>5295</v>
      </c>
      <c r="B2072" t="s">
        <v>5296</v>
      </c>
      <c r="D2072" t="b">
        <f>IFERROR(VLOOKUP(B2072,PatData!$A$2:$A$2000,1,),"")&lt;&gt;""</f>
        <v>0</v>
      </c>
      <c r="E2072" t="s">
        <v>5297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5298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ON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5" t="s">
        <v>178</v>
      </c>
      <c r="B2" s="218">
        <v>1</v>
      </c>
      <c r="C2" s="415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5" t="s">
        <v>147</v>
      </c>
      <c r="B3" s="218">
        <v>1</v>
      </c>
      <c r="C3" s="415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5" t="s">
        <v>179</v>
      </c>
      <c r="B4" s="218">
        <v>1</v>
      </c>
      <c r="C4" s="415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5" t="s">
        <v>148</v>
      </c>
      <c r="B5" s="218">
        <v>1</v>
      </c>
      <c r="C5" s="415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5" t="s">
        <v>173</v>
      </c>
      <c r="B6" s="417">
        <v>4.3478000000000003E-2</v>
      </c>
      <c r="C6" s="415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5" t="s">
        <v>174</v>
      </c>
      <c r="B7" s="417">
        <v>2.5641000000000001E-2</v>
      </c>
      <c r="C7" s="415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5" t="s">
        <v>175</v>
      </c>
      <c r="B8" s="417">
        <v>2.4899999999999999E-2</v>
      </c>
      <c r="C8" s="415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5" t="s">
        <v>180</v>
      </c>
      <c r="B9" s="417">
        <v>3.2288999999999998E-2</v>
      </c>
      <c r="C9" s="415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5" t="s">
        <v>176</v>
      </c>
      <c r="B10" s="417">
        <v>4.1140999999999997E-2</v>
      </c>
      <c r="C10" s="415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5" t="s">
        <v>741</v>
      </c>
      <c r="B11" s="417">
        <v>1.7899999999999999E-2</v>
      </c>
      <c r="C11" s="415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5" t="s">
        <v>742</v>
      </c>
      <c r="B12" s="417">
        <v>40</v>
      </c>
      <c r="C12" s="415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5" t="s">
        <v>466</v>
      </c>
      <c r="B13" s="417">
        <v>2.8205999999999998E-2</v>
      </c>
      <c r="C13" s="415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28" sqref="H28"/>
    </sheetView>
  </sheetViews>
  <sheetFormatPr defaultColWidth="9.140625" defaultRowHeight="12.75" x14ac:dyDescent="0.2"/>
  <cols>
    <col min="1" max="1" width="27.28515625" style="346" customWidth="1"/>
    <col min="2" max="10" width="9.140625" style="346"/>
    <col min="11" max="11" width="9.140625" style="346" customWidth="1"/>
    <col min="12" max="13" width="9.140625" style="346"/>
    <col min="14" max="14" width="54.5703125" style="346" customWidth="1"/>
    <col min="15" max="18" width="9.140625" style="346"/>
    <col min="19" max="19" width="29.85546875" style="346" customWidth="1"/>
    <col min="20" max="16384" width="9.140625" style="346"/>
  </cols>
  <sheetData>
    <row r="1" spans="1:21" x14ac:dyDescent="0.2">
      <c r="B1" s="347" t="s">
        <v>4084</v>
      </c>
    </row>
    <row r="2" spans="1:21" ht="15" x14ac:dyDescent="0.25">
      <c r="B2" s="446">
        <v>2</v>
      </c>
      <c r="C2" s="446">
        <v>3</v>
      </c>
      <c r="D2" s="446">
        <v>4</v>
      </c>
      <c r="E2" s="446">
        <v>5</v>
      </c>
      <c r="F2" s="446">
        <v>6</v>
      </c>
      <c r="G2" s="446">
        <v>7</v>
      </c>
      <c r="H2" s="446">
        <v>8</v>
      </c>
      <c r="I2" s="446">
        <v>9</v>
      </c>
      <c r="J2" s="446">
        <v>10</v>
      </c>
      <c r="K2" s="446">
        <v>11</v>
      </c>
      <c r="L2" s="446">
        <v>12</v>
      </c>
      <c r="M2" s="446">
        <v>13</v>
      </c>
      <c r="N2" s="628">
        <v>14</v>
      </c>
    </row>
    <row r="3" spans="1:21" ht="15" x14ac:dyDescent="0.25">
      <c r="B3" s="446" t="s">
        <v>178</v>
      </c>
      <c r="C3" s="446" t="s">
        <v>147</v>
      </c>
      <c r="D3" s="446" t="s">
        <v>179</v>
      </c>
      <c r="E3" s="446" t="s">
        <v>148</v>
      </c>
      <c r="F3" s="446" t="s">
        <v>173</v>
      </c>
      <c r="G3" s="446" t="s">
        <v>174</v>
      </c>
      <c r="H3" s="446" t="s">
        <v>175</v>
      </c>
      <c r="I3" s="446" t="s">
        <v>180</v>
      </c>
      <c r="J3" s="446" t="s">
        <v>176</v>
      </c>
      <c r="K3" s="446" t="s">
        <v>741</v>
      </c>
      <c r="L3" s="446" t="s">
        <v>742</v>
      </c>
      <c r="M3" s="446" t="s">
        <v>466</v>
      </c>
      <c r="N3" s="636" t="s">
        <v>4958</v>
      </c>
    </row>
    <row r="4" spans="1:21" ht="15" x14ac:dyDescent="0.25">
      <c r="A4" s="444" t="s">
        <v>4097</v>
      </c>
      <c r="B4" s="447" t="str">
        <f t="shared" ref="B4:M4" si="0">VLOOKUP(B3,Tbl_Glob_Conversie,3,FALSE)</f>
        <v>kcal</v>
      </c>
      <c r="C4" s="447" t="str">
        <f t="shared" si="0"/>
        <v>gram</v>
      </c>
      <c r="D4" s="447" t="str">
        <f t="shared" si="0"/>
        <v>gram</v>
      </c>
      <c r="E4" s="447" t="str">
        <f t="shared" si="0"/>
        <v>gram</v>
      </c>
      <c r="F4" s="447" t="str">
        <f t="shared" si="0"/>
        <v>mmol</v>
      </c>
      <c r="G4" s="447" t="str">
        <f t="shared" si="0"/>
        <v>mmol</v>
      </c>
      <c r="H4" s="447" t="str">
        <f t="shared" si="0"/>
        <v>mmol</v>
      </c>
      <c r="I4" s="447" t="str">
        <f t="shared" si="0"/>
        <v>mmol</v>
      </c>
      <c r="J4" s="447" t="str">
        <f t="shared" si="0"/>
        <v>mmol</v>
      </c>
      <c r="K4" s="447" t="str">
        <f t="shared" si="0"/>
        <v>mmol</v>
      </c>
      <c r="L4" s="447" t="str">
        <f t="shared" si="0"/>
        <v>IE</v>
      </c>
      <c r="M4" s="447" t="str">
        <f t="shared" si="0"/>
        <v>mmol</v>
      </c>
    </row>
    <row r="5" spans="1:21" x14ac:dyDescent="0.2">
      <c r="B5" s="801"/>
      <c r="C5" s="801"/>
      <c r="D5" s="801"/>
      <c r="E5" s="801"/>
      <c r="F5" s="801"/>
      <c r="G5" s="801"/>
      <c r="H5" s="801"/>
      <c r="I5" s="801"/>
      <c r="J5" s="801"/>
      <c r="K5" s="801"/>
      <c r="L5" s="801"/>
      <c r="M5" s="801"/>
      <c r="N5" s="801"/>
    </row>
    <row r="6" spans="1:21" x14ac:dyDescent="0.2">
      <c r="A6" s="346" t="s">
        <v>467</v>
      </c>
      <c r="B6" s="801">
        <f>D6*4</f>
        <v>0.2</v>
      </c>
      <c r="C6" s="801"/>
      <c r="D6" s="800">
        <v>0.05</v>
      </c>
      <c r="E6" s="801"/>
      <c r="F6" s="801"/>
      <c r="G6" s="801"/>
      <c r="H6" s="801"/>
      <c r="I6" s="801"/>
      <c r="J6" s="801"/>
      <c r="K6" s="801"/>
      <c r="L6" s="801"/>
      <c r="M6" s="801"/>
      <c r="N6" s="801" t="s">
        <v>4959</v>
      </c>
    </row>
    <row r="7" spans="1:21" x14ac:dyDescent="0.2">
      <c r="A7" s="346" t="s">
        <v>470</v>
      </c>
      <c r="B7" s="801">
        <f t="shared" ref="B7:B19" si="1">D7*4</f>
        <v>0.4</v>
      </c>
      <c r="C7" s="801"/>
      <c r="D7" s="800">
        <v>0.1</v>
      </c>
      <c r="E7" s="801"/>
      <c r="F7" s="801"/>
      <c r="G7" s="801"/>
      <c r="H7" s="801"/>
      <c r="I7" s="801"/>
      <c r="J7" s="801"/>
      <c r="K7" s="801"/>
      <c r="L7" s="801"/>
      <c r="M7" s="801"/>
      <c r="N7" s="801" t="s">
        <v>4960</v>
      </c>
    </row>
    <row r="8" spans="1:21" x14ac:dyDescent="0.2">
      <c r="A8" s="346" t="s">
        <v>4091</v>
      </c>
      <c r="B8" s="801">
        <f t="shared" si="1"/>
        <v>0.5</v>
      </c>
      <c r="C8" s="801"/>
      <c r="D8" s="801">
        <v>0.125</v>
      </c>
      <c r="E8" s="801"/>
      <c r="F8" s="801"/>
      <c r="G8" s="801"/>
      <c r="H8" s="801"/>
      <c r="I8" s="801"/>
      <c r="J8" s="801"/>
      <c r="K8" s="801"/>
      <c r="L8" s="801"/>
      <c r="M8" s="801"/>
      <c r="N8" s="801"/>
    </row>
    <row r="9" spans="1:21" x14ac:dyDescent="0.2">
      <c r="A9" s="346" t="s">
        <v>471</v>
      </c>
      <c r="B9" s="801">
        <f t="shared" si="1"/>
        <v>0.6</v>
      </c>
      <c r="C9" s="801"/>
      <c r="D9" s="801">
        <v>0.15</v>
      </c>
      <c r="E9" s="801"/>
      <c r="F9" s="801"/>
      <c r="G9" s="801"/>
      <c r="H9" s="801"/>
      <c r="I9" s="801"/>
      <c r="J9" s="801"/>
      <c r="K9" s="801"/>
      <c r="L9" s="801"/>
      <c r="M9" s="801"/>
      <c r="N9" s="801" t="s">
        <v>4961</v>
      </c>
    </row>
    <row r="10" spans="1:21" x14ac:dyDescent="0.2">
      <c r="A10" s="346" t="s">
        <v>4092</v>
      </c>
      <c r="B10" s="801">
        <f t="shared" si="1"/>
        <v>0.7</v>
      </c>
      <c r="C10" s="801"/>
      <c r="D10" s="801">
        <v>0.17499999999999999</v>
      </c>
      <c r="E10" s="801"/>
      <c r="F10" s="801"/>
      <c r="G10" s="801"/>
      <c r="H10" s="801"/>
      <c r="I10" s="801"/>
      <c r="J10" s="801"/>
      <c r="K10" s="801"/>
      <c r="L10" s="801"/>
      <c r="M10" s="801"/>
      <c r="N10" s="801"/>
      <c r="S10" s="430"/>
      <c r="T10" s="430"/>
      <c r="U10" s="430"/>
    </row>
    <row r="11" spans="1:21" x14ac:dyDescent="0.2">
      <c r="A11" s="346" t="s">
        <v>473</v>
      </c>
      <c r="B11" s="801">
        <f t="shared" si="1"/>
        <v>0.8</v>
      </c>
      <c r="C11" s="801"/>
      <c r="D11" s="800">
        <v>0.2</v>
      </c>
      <c r="E11" s="801"/>
      <c r="F11" s="801"/>
      <c r="G11" s="801"/>
      <c r="H11" s="801"/>
      <c r="I11" s="801"/>
      <c r="J11" s="801"/>
      <c r="K11" s="801"/>
      <c r="L11" s="801"/>
      <c r="M11" s="801"/>
      <c r="N11" s="801" t="s">
        <v>4962</v>
      </c>
      <c r="S11" s="430"/>
      <c r="U11" s="430"/>
    </row>
    <row r="12" spans="1:21" x14ac:dyDescent="0.2">
      <c r="A12" s="346" t="s">
        <v>474</v>
      </c>
      <c r="B12" s="801">
        <f t="shared" si="1"/>
        <v>1</v>
      </c>
      <c r="C12" s="801"/>
      <c r="D12" s="800">
        <v>0.25</v>
      </c>
      <c r="E12" s="801"/>
      <c r="F12" s="801"/>
      <c r="G12" s="801"/>
      <c r="H12" s="801"/>
      <c r="I12" s="801"/>
      <c r="J12" s="801"/>
      <c r="K12" s="801"/>
      <c r="L12" s="801"/>
      <c r="M12" s="801"/>
      <c r="N12" s="801" t="s">
        <v>4963</v>
      </c>
      <c r="S12" s="430"/>
      <c r="U12" s="430"/>
    </row>
    <row r="13" spans="1:21" x14ac:dyDescent="0.2">
      <c r="A13" s="430" t="s">
        <v>475</v>
      </c>
      <c r="B13" s="801">
        <f t="shared" si="1"/>
        <v>1.2</v>
      </c>
      <c r="C13" s="801"/>
      <c r="D13" s="800">
        <v>0.3</v>
      </c>
      <c r="E13" s="801"/>
      <c r="F13" s="801"/>
      <c r="G13" s="801"/>
      <c r="H13" s="801"/>
      <c r="I13" s="801"/>
      <c r="J13" s="801"/>
      <c r="K13" s="801"/>
      <c r="L13" s="801"/>
      <c r="M13" s="801"/>
      <c r="N13" s="801" t="s">
        <v>4964</v>
      </c>
      <c r="S13" s="430"/>
      <c r="T13" s="430"/>
      <c r="U13" s="430"/>
    </row>
    <row r="14" spans="1:21" x14ac:dyDescent="0.2">
      <c r="A14" s="347" t="s">
        <v>476</v>
      </c>
      <c r="B14" s="801">
        <f t="shared" si="1"/>
        <v>1.4</v>
      </c>
      <c r="C14" s="801"/>
      <c r="D14" s="800">
        <v>0.35</v>
      </c>
      <c r="E14" s="801"/>
      <c r="F14" s="801"/>
      <c r="G14" s="801"/>
      <c r="H14" s="801"/>
      <c r="I14" s="801"/>
      <c r="J14" s="801"/>
      <c r="K14" s="801"/>
      <c r="L14" s="801"/>
      <c r="M14" s="801"/>
      <c r="N14" s="801" t="s">
        <v>4965</v>
      </c>
      <c r="S14" s="430"/>
      <c r="U14" s="430"/>
    </row>
    <row r="15" spans="1:21" x14ac:dyDescent="0.2">
      <c r="A15" s="346" t="s">
        <v>477</v>
      </c>
      <c r="B15" s="801">
        <f t="shared" si="1"/>
        <v>1.6</v>
      </c>
      <c r="C15" s="801"/>
      <c r="D15" s="800">
        <v>0.4</v>
      </c>
      <c r="E15" s="801"/>
      <c r="F15" s="801"/>
      <c r="G15" s="801"/>
      <c r="H15" s="801"/>
      <c r="I15" s="801"/>
      <c r="J15" s="801"/>
      <c r="K15" s="801"/>
      <c r="L15" s="801"/>
      <c r="M15" s="801"/>
      <c r="N15" s="801" t="s">
        <v>4966</v>
      </c>
      <c r="S15" s="430"/>
      <c r="U15" s="430"/>
    </row>
    <row r="16" spans="1:21" x14ac:dyDescent="0.2">
      <c r="A16" s="430" t="s">
        <v>478</v>
      </c>
      <c r="B16" s="801">
        <f t="shared" si="1"/>
        <v>1.8</v>
      </c>
      <c r="C16" s="801"/>
      <c r="D16" s="800">
        <v>0.45</v>
      </c>
      <c r="E16" s="801"/>
      <c r="F16" s="801"/>
      <c r="G16" s="801"/>
      <c r="H16" s="801"/>
      <c r="I16" s="801"/>
      <c r="J16" s="801"/>
      <c r="K16" s="801"/>
      <c r="L16" s="801"/>
      <c r="M16" s="801"/>
      <c r="N16" s="801" t="s">
        <v>4967</v>
      </c>
      <c r="S16" s="430"/>
      <c r="U16" s="430"/>
    </row>
    <row r="17" spans="1:21" x14ac:dyDescent="0.2">
      <c r="A17" s="346" t="s">
        <v>479</v>
      </c>
      <c r="B17" s="801">
        <f t="shared" si="1"/>
        <v>2</v>
      </c>
      <c r="C17" s="801"/>
      <c r="D17" s="800">
        <v>0.5</v>
      </c>
      <c r="E17" s="801"/>
      <c r="F17" s="801"/>
      <c r="G17" s="801"/>
      <c r="H17" s="801"/>
      <c r="I17" s="801"/>
      <c r="J17" s="801"/>
      <c r="K17" s="801"/>
      <c r="L17" s="801"/>
      <c r="M17" s="801"/>
      <c r="N17" s="801" t="s">
        <v>4968</v>
      </c>
      <c r="S17" s="430"/>
      <c r="U17" s="430"/>
    </row>
    <row r="18" spans="1:21" x14ac:dyDescent="0.2">
      <c r="A18" s="346" t="s">
        <v>4093</v>
      </c>
      <c r="B18" s="801">
        <f t="shared" si="1"/>
        <v>0.2</v>
      </c>
      <c r="C18" s="801"/>
      <c r="D18" s="801">
        <v>0.05</v>
      </c>
      <c r="E18" s="801"/>
      <c r="F18" s="801">
        <v>7.6999999999999999E-2</v>
      </c>
      <c r="G18" s="801"/>
      <c r="H18" s="801"/>
      <c r="I18" s="801"/>
      <c r="J18" s="801"/>
      <c r="K18" s="801"/>
      <c r="L18" s="801"/>
      <c r="M18" s="801">
        <f>F18</f>
        <v>7.6999999999999999E-2</v>
      </c>
      <c r="N18" s="801"/>
      <c r="S18" s="430"/>
      <c r="U18" s="430"/>
    </row>
    <row r="19" spans="1:21" x14ac:dyDescent="0.2">
      <c r="A19" s="346" t="s">
        <v>4094</v>
      </c>
      <c r="B19" s="801">
        <f t="shared" si="1"/>
        <v>0.2</v>
      </c>
      <c r="C19" s="801"/>
      <c r="D19" s="801">
        <v>0.05</v>
      </c>
      <c r="E19" s="801"/>
      <c r="F19" s="801">
        <v>0.155</v>
      </c>
      <c r="G19" s="801"/>
      <c r="H19" s="801"/>
      <c r="I19" s="801"/>
      <c r="J19" s="801"/>
      <c r="K19" s="801"/>
      <c r="L19" s="801"/>
      <c r="M19" s="801">
        <f t="shared" ref="M19:M21" si="2">F19</f>
        <v>0.155</v>
      </c>
      <c r="N19" s="801"/>
      <c r="S19" s="430"/>
      <c r="U19" s="430"/>
    </row>
    <row r="20" spans="1:21" x14ac:dyDescent="0.2">
      <c r="A20" s="445" t="s">
        <v>4278</v>
      </c>
      <c r="B20" s="801"/>
      <c r="C20" s="801"/>
      <c r="D20" s="801"/>
      <c r="E20" s="801"/>
      <c r="F20" s="801">
        <f>F21/2</f>
        <v>7.7499999999999999E-2</v>
      </c>
      <c r="G20" s="801"/>
      <c r="H20" s="801"/>
      <c r="I20" s="801"/>
      <c r="J20" s="801"/>
      <c r="K20" s="801"/>
      <c r="L20" s="801"/>
      <c r="M20" s="801">
        <f t="shared" si="2"/>
        <v>7.7499999999999999E-2</v>
      </c>
      <c r="N20" s="801"/>
      <c r="S20" s="430"/>
      <c r="U20" s="430"/>
    </row>
    <row r="21" spans="1:21" x14ac:dyDescent="0.2">
      <c r="A21" s="346" t="s">
        <v>239</v>
      </c>
      <c r="B21" s="801"/>
      <c r="C21" s="801"/>
      <c r="D21" s="801"/>
      <c r="E21" s="801"/>
      <c r="F21" s="801">
        <v>0.155</v>
      </c>
      <c r="G21" s="801"/>
      <c r="H21" s="801"/>
      <c r="I21" s="801"/>
      <c r="J21" s="801"/>
      <c r="K21" s="801"/>
      <c r="L21" s="801"/>
      <c r="M21" s="801">
        <f t="shared" si="2"/>
        <v>0.155</v>
      </c>
      <c r="N21" s="801" t="s">
        <v>4969</v>
      </c>
      <c r="S21" s="430"/>
      <c r="U21" s="430"/>
    </row>
    <row r="22" spans="1:21" x14ac:dyDescent="0.2">
      <c r="A22" s="346" t="s">
        <v>360</v>
      </c>
      <c r="B22" s="801"/>
      <c r="C22" s="801"/>
      <c r="D22" s="801"/>
      <c r="E22" s="801"/>
      <c r="F22" s="801">
        <v>0.13100000000000001</v>
      </c>
      <c r="G22" s="801">
        <v>5.4000000000000003E-3</v>
      </c>
      <c r="H22" s="801"/>
      <c r="I22" s="801"/>
      <c r="J22" s="801"/>
      <c r="K22" s="801"/>
      <c r="L22" s="801"/>
      <c r="M22" s="801">
        <v>0.109</v>
      </c>
      <c r="N22" s="801"/>
      <c r="S22" s="430"/>
      <c r="T22" s="430"/>
      <c r="U22" s="430"/>
    </row>
    <row r="23" spans="1:21" x14ac:dyDescent="0.2">
      <c r="A23" s="430" t="s">
        <v>480</v>
      </c>
      <c r="B23" s="801"/>
      <c r="C23" s="801"/>
      <c r="D23" s="801"/>
      <c r="E23" s="801"/>
      <c r="F23" s="800">
        <v>0.5</v>
      </c>
      <c r="G23" s="801"/>
      <c r="H23" s="801"/>
      <c r="I23" s="801"/>
      <c r="J23" s="801"/>
      <c r="K23" s="801"/>
      <c r="L23" s="801"/>
      <c r="M23" s="801"/>
      <c r="N23" s="801"/>
      <c r="S23" s="430"/>
      <c r="T23" s="430"/>
    </row>
    <row r="24" spans="1:21" x14ac:dyDescent="0.2">
      <c r="A24" s="430" t="s">
        <v>47</v>
      </c>
      <c r="B24" s="801"/>
      <c r="C24" s="801"/>
      <c r="D24" s="801"/>
      <c r="E24" s="801"/>
      <c r="F24" s="800">
        <v>1</v>
      </c>
      <c r="G24" s="801"/>
      <c r="H24" s="801"/>
      <c r="I24" s="801"/>
      <c r="J24" s="801"/>
      <c r="K24" s="801"/>
      <c r="L24" s="801"/>
      <c r="M24" s="801"/>
      <c r="N24" s="801"/>
      <c r="S24" s="430"/>
      <c r="T24" s="430"/>
    </row>
    <row r="25" spans="1:21" x14ac:dyDescent="0.2">
      <c r="A25" s="430" t="s">
        <v>265</v>
      </c>
      <c r="B25" s="801"/>
      <c r="C25" s="801"/>
      <c r="D25" s="801"/>
      <c r="E25" s="801"/>
      <c r="F25" s="800">
        <v>0.5</v>
      </c>
      <c r="G25" s="801"/>
      <c r="H25" s="801"/>
      <c r="I25" s="801"/>
      <c r="J25" s="801"/>
      <c r="K25" s="801"/>
      <c r="L25" s="801"/>
      <c r="M25" s="801">
        <f>F25</f>
        <v>0.5</v>
      </c>
      <c r="N25" s="801"/>
      <c r="T25" s="430"/>
    </row>
    <row r="26" spans="1:21" x14ac:dyDescent="0.2">
      <c r="A26" s="346" t="s">
        <v>449</v>
      </c>
      <c r="B26" s="801"/>
      <c r="C26" s="801"/>
      <c r="D26" s="801"/>
      <c r="E26" s="801"/>
      <c r="F26" s="800"/>
      <c r="G26" s="247">
        <v>1</v>
      </c>
      <c r="H26" s="801"/>
      <c r="I26" s="801"/>
      <c r="J26" s="801"/>
      <c r="K26" s="801"/>
      <c r="L26" s="801"/>
      <c r="M26" s="801"/>
      <c r="N26" s="801"/>
      <c r="T26" s="430"/>
    </row>
    <row r="27" spans="1:21" x14ac:dyDescent="0.2">
      <c r="A27" s="346" t="s">
        <v>171</v>
      </c>
      <c r="B27" s="801"/>
      <c r="C27" s="801"/>
      <c r="D27" s="801"/>
      <c r="E27" s="801"/>
      <c r="F27" s="800"/>
      <c r="G27" s="801">
        <v>1</v>
      </c>
      <c r="H27" s="801"/>
      <c r="I27" s="801"/>
      <c r="J27" s="801"/>
      <c r="K27" s="801"/>
      <c r="L27" s="801"/>
      <c r="M27" s="801">
        <f>G27</f>
        <v>1</v>
      </c>
      <c r="N27" s="801"/>
      <c r="T27" s="430"/>
    </row>
    <row r="28" spans="1:21" x14ac:dyDescent="0.2">
      <c r="A28" s="346" t="s">
        <v>450</v>
      </c>
      <c r="B28" s="801"/>
      <c r="C28" s="801"/>
      <c r="D28" s="801"/>
      <c r="E28" s="801"/>
      <c r="F28" s="800"/>
      <c r="G28" s="801"/>
      <c r="H28" s="247">
        <v>0.22500000000000001</v>
      </c>
      <c r="I28" s="801"/>
      <c r="J28" s="801"/>
      <c r="K28" s="801"/>
      <c r="L28" s="801"/>
      <c r="M28" s="247">
        <v>0.45</v>
      </c>
      <c r="N28" s="801"/>
      <c r="T28" s="430"/>
    </row>
    <row r="29" spans="1:21" x14ac:dyDescent="0.2">
      <c r="A29" s="346" t="s">
        <v>266</v>
      </c>
      <c r="B29" s="801"/>
      <c r="C29" s="801"/>
      <c r="D29" s="801"/>
      <c r="E29" s="801"/>
      <c r="F29" s="800"/>
      <c r="G29" s="801"/>
      <c r="H29" s="801">
        <v>0.22500000000000001</v>
      </c>
      <c r="I29" s="801"/>
      <c r="J29" s="801"/>
      <c r="K29" s="801"/>
      <c r="L29" s="801"/>
      <c r="M29" s="801"/>
      <c r="N29" s="801"/>
      <c r="T29" s="430"/>
    </row>
    <row r="30" spans="1:21" x14ac:dyDescent="0.2">
      <c r="A30" s="346" t="s">
        <v>451</v>
      </c>
      <c r="B30" s="801"/>
      <c r="C30" s="801"/>
      <c r="D30" s="801"/>
      <c r="E30" s="801"/>
      <c r="F30" s="800"/>
      <c r="G30" s="801"/>
      <c r="H30" s="801"/>
      <c r="I30" s="801"/>
      <c r="J30" s="247">
        <v>0.5</v>
      </c>
      <c r="K30" s="801"/>
      <c r="L30" s="801"/>
      <c r="M30" s="247">
        <v>1</v>
      </c>
      <c r="N30" s="801"/>
      <c r="T30" s="430"/>
    </row>
    <row r="31" spans="1:21" x14ac:dyDescent="0.2">
      <c r="A31" s="346" t="s">
        <v>247</v>
      </c>
      <c r="B31" s="801"/>
      <c r="C31" s="801"/>
      <c r="D31" s="801"/>
      <c r="E31" s="801"/>
      <c r="F31" s="800"/>
      <c r="G31" s="801"/>
      <c r="H31" s="801"/>
      <c r="I31" s="801"/>
      <c r="J31" s="247">
        <v>0.5</v>
      </c>
      <c r="K31" s="801"/>
      <c r="L31" s="801"/>
      <c r="M31" s="247">
        <v>1</v>
      </c>
      <c r="N31" s="801"/>
      <c r="T31" s="430"/>
    </row>
    <row r="32" spans="1:21" x14ac:dyDescent="0.2">
      <c r="A32" s="346" t="s">
        <v>245</v>
      </c>
      <c r="B32" s="801"/>
      <c r="C32" s="801"/>
      <c r="D32" s="801"/>
      <c r="E32" s="801"/>
      <c r="F32" s="801">
        <v>0.5</v>
      </c>
      <c r="G32" s="801">
        <v>1.25</v>
      </c>
      <c r="H32" s="801"/>
      <c r="I32" s="801">
        <v>1.5</v>
      </c>
      <c r="J32" s="247"/>
      <c r="K32" s="801"/>
      <c r="L32" s="801"/>
      <c r="M32" s="247"/>
      <c r="N32" s="801"/>
      <c r="T32" s="430"/>
    </row>
    <row r="33" spans="1:14" x14ac:dyDescent="0.2">
      <c r="A33" s="430" t="s">
        <v>91</v>
      </c>
      <c r="B33" s="801"/>
      <c r="C33" s="801">
        <v>0.2</v>
      </c>
      <c r="D33" s="801"/>
      <c r="E33" s="801"/>
      <c r="F33" s="801"/>
      <c r="G33" s="801"/>
      <c r="H33" s="801"/>
      <c r="I33" s="801"/>
      <c r="J33" s="801"/>
      <c r="K33" s="801"/>
      <c r="L33" s="801"/>
      <c r="M33" s="801"/>
      <c r="N33" s="801" t="s">
        <v>4970</v>
      </c>
    </row>
    <row r="34" spans="1:14" x14ac:dyDescent="0.2">
      <c r="A34" s="346" t="s">
        <v>481</v>
      </c>
      <c r="B34" s="801">
        <v>0.28999999999999998</v>
      </c>
      <c r="C34" s="801">
        <v>7.4285714285714288E-2</v>
      </c>
      <c r="D34" s="801"/>
      <c r="E34" s="801"/>
      <c r="F34" s="801">
        <v>5.4285714285714284E-2</v>
      </c>
      <c r="G34" s="801">
        <v>7.1428571428571425E-2</v>
      </c>
      <c r="H34" s="801">
        <v>2.5714285714285714E-2</v>
      </c>
      <c r="I34" s="801">
        <v>3.4285714285714287E-2</v>
      </c>
      <c r="J34" s="801">
        <v>4.2857142857142859E-3</v>
      </c>
      <c r="K34" s="801"/>
      <c r="L34" s="801"/>
      <c r="M34" s="801"/>
      <c r="N34" s="801"/>
    </row>
    <row r="35" spans="1:14" x14ac:dyDescent="0.2">
      <c r="A35" s="346" t="s">
        <v>263</v>
      </c>
      <c r="B35" s="801">
        <v>0.28999999999999998</v>
      </c>
      <c r="C35" s="801">
        <v>7.4285714285714288E-2</v>
      </c>
      <c r="D35" s="801">
        <v>0</v>
      </c>
      <c r="E35" s="801"/>
      <c r="F35" s="801">
        <v>7.1428571428571426E-3</v>
      </c>
      <c r="G35" s="801">
        <v>1.7142857142857144E-2</v>
      </c>
      <c r="H35" s="801">
        <v>2.5714285714285714E-2</v>
      </c>
      <c r="I35" s="801">
        <v>2.1428571428571429E-2</v>
      </c>
      <c r="J35" s="801">
        <v>5.7142857142857143E-3</v>
      </c>
      <c r="K35" s="801"/>
      <c r="L35" s="801"/>
      <c r="M35" s="801"/>
      <c r="N35" s="801"/>
    </row>
    <row r="36" spans="1:14" x14ac:dyDescent="0.2">
      <c r="A36" s="346" t="s">
        <v>264</v>
      </c>
      <c r="B36" s="801">
        <v>0.32</v>
      </c>
      <c r="C36" s="801">
        <v>0.08</v>
      </c>
      <c r="D36" s="801">
        <v>0</v>
      </c>
      <c r="E36" s="801"/>
      <c r="F36" s="801">
        <v>8.0000000000000002E-3</v>
      </c>
      <c r="G36" s="801">
        <v>0.02</v>
      </c>
      <c r="H36" s="801">
        <v>2.8000000000000001E-2</v>
      </c>
      <c r="I36" s="801">
        <v>2.4E-2</v>
      </c>
      <c r="J36" s="801">
        <v>8.0000000000000002E-3</v>
      </c>
      <c r="K36" s="801"/>
      <c r="L36" s="801"/>
      <c r="M36" s="801"/>
      <c r="N36" s="801"/>
    </row>
    <row r="37" spans="1:14" x14ac:dyDescent="0.2">
      <c r="A37" s="346" t="s">
        <v>35</v>
      </c>
      <c r="B37" s="801">
        <v>0.35</v>
      </c>
      <c r="C37" s="801">
        <v>8.7999999999999995E-2</v>
      </c>
      <c r="D37" s="801">
        <v>0</v>
      </c>
      <c r="E37" s="801"/>
      <c r="F37" s="801">
        <v>0.01</v>
      </c>
      <c r="G37" s="801">
        <v>2.5000000000000001E-2</v>
      </c>
      <c r="H37" s="801">
        <v>1.7999999999999999E-2</v>
      </c>
      <c r="I37" s="801">
        <v>0.03</v>
      </c>
      <c r="J37" s="801">
        <v>0.01</v>
      </c>
      <c r="K37" s="801"/>
      <c r="L37" s="801"/>
      <c r="M37" s="801"/>
      <c r="N37" s="801"/>
    </row>
    <row r="38" spans="1:14" x14ac:dyDescent="0.2">
      <c r="A38" s="346" t="s">
        <v>36</v>
      </c>
      <c r="B38" s="801">
        <v>0.33</v>
      </c>
      <c r="C38" s="801">
        <v>8.3000000000000004E-2</v>
      </c>
      <c r="D38" s="801">
        <v>0</v>
      </c>
      <c r="E38" s="801"/>
      <c r="F38" s="801">
        <v>1.2499999999999999E-2</v>
      </c>
      <c r="G38" s="801">
        <v>3.1E-2</v>
      </c>
      <c r="H38" s="801">
        <v>2.5999999999999999E-2</v>
      </c>
      <c r="I38" s="801">
        <v>3.7999999999999999E-2</v>
      </c>
      <c r="J38" s="801">
        <v>1.2500000000000001E-2</v>
      </c>
      <c r="K38" s="801"/>
      <c r="L38" s="801"/>
      <c r="M38" s="801"/>
      <c r="N38" s="801"/>
    </row>
    <row r="39" spans="1:14" x14ac:dyDescent="0.2">
      <c r="A39" s="346" t="s">
        <v>67</v>
      </c>
      <c r="B39" s="801">
        <v>0.96</v>
      </c>
      <c r="C39" s="801">
        <v>7.0000000000000007E-2</v>
      </c>
      <c r="D39" s="801">
        <v>0.24</v>
      </c>
      <c r="E39" s="801"/>
      <c r="F39" s="801">
        <v>4.0500000000000001E-2</v>
      </c>
      <c r="G39" s="801">
        <v>2.5700000000000001E-2</v>
      </c>
      <c r="H39" s="801">
        <v>4.1000000000000003E-3</v>
      </c>
      <c r="I39" s="801">
        <v>1.47E-2</v>
      </c>
      <c r="J39" s="801">
        <v>5.0000000000000001E-3</v>
      </c>
      <c r="K39" s="801"/>
      <c r="L39" s="801"/>
      <c r="M39" s="801"/>
      <c r="N39" s="801"/>
    </row>
    <row r="40" spans="1:14" x14ac:dyDescent="0.2">
      <c r="A40" s="347" t="s">
        <v>240</v>
      </c>
      <c r="B40" s="801"/>
      <c r="C40" s="801"/>
      <c r="D40" s="801"/>
      <c r="E40" s="801"/>
      <c r="F40" s="801"/>
      <c r="G40" s="801"/>
      <c r="H40" s="801"/>
      <c r="I40" s="801"/>
      <c r="J40" s="801"/>
      <c r="K40" s="801"/>
      <c r="L40" s="801"/>
      <c r="M40" s="801"/>
      <c r="N40" s="801"/>
    </row>
    <row r="41" spans="1:14" x14ac:dyDescent="0.2">
      <c r="A41" s="346" t="s">
        <v>416</v>
      </c>
      <c r="B41" s="801"/>
      <c r="C41" s="247">
        <v>0.1</v>
      </c>
      <c r="D41" s="801"/>
      <c r="E41" s="801"/>
      <c r="F41" s="801"/>
      <c r="G41" s="801"/>
      <c r="H41" s="801"/>
      <c r="I41" s="801"/>
      <c r="J41" s="801"/>
      <c r="K41" s="801"/>
      <c r="L41" s="247"/>
      <c r="M41" s="801"/>
      <c r="N41" s="801"/>
    </row>
    <row r="42" spans="1:14" x14ac:dyDescent="0.2">
      <c r="A42" s="346" t="s">
        <v>152</v>
      </c>
      <c r="B42" s="801"/>
      <c r="C42" s="801"/>
      <c r="D42" s="801"/>
      <c r="E42" s="801"/>
      <c r="F42" s="801"/>
      <c r="G42" s="801"/>
      <c r="H42" s="801"/>
      <c r="I42" s="801"/>
      <c r="J42" s="801"/>
      <c r="K42" s="801"/>
      <c r="L42" s="801"/>
      <c r="M42" s="801"/>
      <c r="N42" s="801"/>
    </row>
    <row r="43" spans="1:14" x14ac:dyDescent="0.2">
      <c r="A43" s="347" t="s">
        <v>151</v>
      </c>
      <c r="B43" s="801"/>
      <c r="C43" s="801"/>
      <c r="D43" s="801"/>
      <c r="E43" s="801"/>
      <c r="F43" s="801"/>
      <c r="G43" s="801"/>
      <c r="H43" s="801"/>
      <c r="I43" s="801"/>
      <c r="J43" s="801"/>
      <c r="K43" s="801"/>
      <c r="L43" s="801">
        <v>40</v>
      </c>
      <c r="M43" s="801"/>
      <c r="N43" s="801"/>
    </row>
    <row r="44" spans="1:14" x14ac:dyDescent="0.2">
      <c r="A44" s="346" t="s">
        <v>150</v>
      </c>
      <c r="B44" s="801">
        <v>1.8</v>
      </c>
      <c r="C44" s="801"/>
      <c r="D44" s="801"/>
      <c r="E44" s="801">
        <v>0.2</v>
      </c>
      <c r="F44" s="801"/>
      <c r="G44" s="801"/>
      <c r="H44" s="801"/>
      <c r="I44" s="801"/>
      <c r="J44" s="801"/>
      <c r="K44" s="801"/>
      <c r="L44" s="801"/>
      <c r="M44" s="801"/>
      <c r="N44" s="801"/>
    </row>
    <row r="45" spans="1:14" x14ac:dyDescent="0.2">
      <c r="A45" s="346" t="s">
        <v>448</v>
      </c>
      <c r="B45" s="801">
        <v>1.8</v>
      </c>
      <c r="C45" s="801"/>
      <c r="D45" s="801"/>
      <c r="E45" s="801">
        <v>0.2</v>
      </c>
      <c r="F45" s="801"/>
      <c r="G45" s="801"/>
      <c r="H45" s="801"/>
      <c r="I45" s="801"/>
      <c r="J45" s="801"/>
      <c r="K45" s="801"/>
      <c r="L45" s="801"/>
      <c r="M45" s="801"/>
      <c r="N45" s="801"/>
    </row>
    <row r="46" spans="1:14" x14ac:dyDescent="0.2">
      <c r="A46" s="346" t="s">
        <v>872</v>
      </c>
      <c r="B46" s="801">
        <f>9*E46</f>
        <v>1.8</v>
      </c>
      <c r="C46" s="801"/>
      <c r="D46" s="801"/>
      <c r="E46" s="419">
        <v>0.2</v>
      </c>
      <c r="F46" s="801"/>
      <c r="G46" s="801"/>
      <c r="H46" s="801"/>
      <c r="I46" s="801"/>
      <c r="J46" s="801"/>
      <c r="K46" s="801"/>
      <c r="L46" s="801"/>
      <c r="M46" s="801"/>
      <c r="N46" s="801"/>
    </row>
    <row r="49" spans="2:13" x14ac:dyDescent="0.2">
      <c r="B49" s="342"/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</row>
    <row r="50" spans="2:13" x14ac:dyDescent="0.2">
      <c r="B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</row>
    <row r="51" spans="2:13" x14ac:dyDescent="0.2">
      <c r="B51" s="342"/>
      <c r="C51" s="342"/>
      <c r="E51" s="342"/>
      <c r="F51" s="342"/>
      <c r="G51" s="342"/>
      <c r="H51" s="342"/>
      <c r="I51" s="342"/>
      <c r="J51" s="342"/>
      <c r="L51" s="342"/>
      <c r="M51" s="342"/>
    </row>
    <row r="52" spans="2:13" x14ac:dyDescent="0.2">
      <c r="B52" s="342"/>
      <c r="C52" s="342"/>
      <c r="D52" s="342"/>
      <c r="F52" s="342"/>
      <c r="G52" s="342"/>
      <c r="H52" s="342"/>
      <c r="I52" s="342"/>
      <c r="J52" s="342"/>
      <c r="L52" s="342"/>
      <c r="M52" s="342"/>
    </row>
    <row r="53" spans="2:13" x14ac:dyDescent="0.2">
      <c r="B53" s="342"/>
      <c r="C53" s="342"/>
      <c r="D53" s="342"/>
      <c r="E53" s="342"/>
      <c r="F53" s="342"/>
      <c r="G53" s="342"/>
      <c r="H53" s="342"/>
      <c r="I53" s="342"/>
      <c r="J53" s="342"/>
      <c r="K53" s="342"/>
      <c r="M53" s="342"/>
    </row>
    <row r="54" spans="2:13" x14ac:dyDescent="0.2">
      <c r="B54" s="342"/>
      <c r="C54" s="342"/>
      <c r="D54" s="342"/>
      <c r="E54" s="342"/>
      <c r="F54" s="342"/>
      <c r="H54" s="342"/>
      <c r="I54" s="342"/>
      <c r="J54" s="342"/>
      <c r="K54" s="342"/>
      <c r="L54" s="342"/>
      <c r="M54" s="342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50" bestFit="1" customWidth="1"/>
    <col min="2" max="14" width="8.28515625" style="450" customWidth="1"/>
    <col min="15" max="15" width="35.140625" style="450" customWidth="1"/>
    <col min="16" max="30" width="7.7109375" style="450" customWidth="1"/>
    <col min="31" max="16384" width="9.140625" style="450"/>
  </cols>
  <sheetData>
    <row r="1" spans="1:35" x14ac:dyDescent="0.2">
      <c r="A1" s="449" t="s">
        <v>4774</v>
      </c>
      <c r="B1" s="555" t="s">
        <v>4101</v>
      </c>
      <c r="O1" s="449" t="s">
        <v>4086</v>
      </c>
      <c r="P1" s="555" t="s">
        <v>4776</v>
      </c>
      <c r="AG1" s="451"/>
      <c r="AH1" s="448"/>
      <c r="AI1" s="451"/>
    </row>
    <row r="2" spans="1:35" x14ac:dyDescent="0.2">
      <c r="B2" s="450" t="s">
        <v>4081</v>
      </c>
      <c r="C2" s="451" t="s">
        <v>29</v>
      </c>
      <c r="D2" s="451" t="s">
        <v>29</v>
      </c>
      <c r="E2" s="451" t="s">
        <v>29</v>
      </c>
      <c r="F2" s="451" t="s">
        <v>121</v>
      </c>
      <c r="G2" s="451" t="s">
        <v>121</v>
      </c>
      <c r="H2" s="451" t="s">
        <v>121</v>
      </c>
      <c r="I2" s="451" t="s">
        <v>121</v>
      </c>
      <c r="J2" s="451" t="s">
        <v>121</v>
      </c>
      <c r="K2" s="451" t="s">
        <v>121</v>
      </c>
      <c r="L2" s="451" t="s">
        <v>743</v>
      </c>
      <c r="M2" s="451" t="s">
        <v>121</v>
      </c>
      <c r="N2" s="451"/>
      <c r="O2" s="452"/>
      <c r="P2" s="451">
        <v>2</v>
      </c>
      <c r="Q2" s="451">
        <v>3</v>
      </c>
      <c r="R2" s="451">
        <v>4</v>
      </c>
      <c r="S2" s="451">
        <v>5</v>
      </c>
      <c r="T2" s="451">
        <v>6</v>
      </c>
      <c r="U2" s="451">
        <v>7</v>
      </c>
      <c r="V2" s="451">
        <v>8</v>
      </c>
      <c r="W2" s="451">
        <v>9</v>
      </c>
      <c r="X2" s="451">
        <v>10</v>
      </c>
      <c r="Y2" s="451">
        <v>11</v>
      </c>
      <c r="Z2" s="451">
        <v>12</v>
      </c>
      <c r="AA2" s="451">
        <v>13</v>
      </c>
      <c r="AG2" s="451"/>
      <c r="AH2" s="448"/>
      <c r="AI2" s="451"/>
    </row>
    <row r="3" spans="1:35" x14ac:dyDescent="0.2">
      <c r="A3" s="451"/>
      <c r="B3" s="451" t="s">
        <v>178</v>
      </c>
      <c r="C3" s="451" t="s">
        <v>172</v>
      </c>
      <c r="D3" s="451" t="s">
        <v>422</v>
      </c>
      <c r="E3" s="451" t="s">
        <v>423</v>
      </c>
      <c r="F3" s="451" t="s">
        <v>173</v>
      </c>
      <c r="G3" s="451" t="s">
        <v>174</v>
      </c>
      <c r="H3" s="451" t="s">
        <v>175</v>
      </c>
      <c r="I3" s="451" t="s">
        <v>421</v>
      </c>
      <c r="J3" s="451" t="s">
        <v>176</v>
      </c>
      <c r="K3" s="451" t="s">
        <v>741</v>
      </c>
      <c r="L3" s="451" t="s">
        <v>742</v>
      </c>
      <c r="M3" s="451" t="s">
        <v>466</v>
      </c>
      <c r="N3" s="451"/>
      <c r="O3" s="451"/>
      <c r="P3" s="451" t="s">
        <v>178</v>
      </c>
      <c r="Q3" s="451" t="s">
        <v>147</v>
      </c>
      <c r="R3" s="451" t="s">
        <v>179</v>
      </c>
      <c r="S3" s="451" t="s">
        <v>148</v>
      </c>
      <c r="T3" s="451" t="s">
        <v>173</v>
      </c>
      <c r="U3" s="451" t="s">
        <v>174</v>
      </c>
      <c r="V3" s="451" t="s">
        <v>175</v>
      </c>
      <c r="W3" s="451" t="s">
        <v>180</v>
      </c>
      <c r="X3" s="451" t="s">
        <v>176</v>
      </c>
      <c r="Y3" s="451" t="s">
        <v>741</v>
      </c>
      <c r="Z3" s="451" t="s">
        <v>742</v>
      </c>
      <c r="AA3" s="451" t="s">
        <v>466</v>
      </c>
      <c r="AG3" s="451"/>
      <c r="AH3" s="448"/>
      <c r="AI3" s="451"/>
    </row>
    <row r="4" spans="1:35" x14ac:dyDescent="0.2">
      <c r="A4" s="451"/>
      <c r="B4" s="451" t="s">
        <v>178</v>
      </c>
      <c r="C4" s="451" t="s">
        <v>147</v>
      </c>
      <c r="D4" s="451" t="s">
        <v>179</v>
      </c>
      <c r="E4" s="451" t="s">
        <v>148</v>
      </c>
      <c r="F4" s="451" t="s">
        <v>173</v>
      </c>
      <c r="G4" s="451" t="s">
        <v>174</v>
      </c>
      <c r="H4" s="451" t="s">
        <v>175</v>
      </c>
      <c r="I4" s="451" t="s">
        <v>180</v>
      </c>
      <c r="J4" s="451" t="s">
        <v>176</v>
      </c>
      <c r="K4" s="451" t="s">
        <v>741</v>
      </c>
      <c r="L4" s="451" t="s">
        <v>742</v>
      </c>
      <c r="M4" s="451" t="s">
        <v>466</v>
      </c>
      <c r="N4" s="451"/>
      <c r="O4" s="451"/>
      <c r="P4" s="450" t="str">
        <f t="shared" ref="P4:AA4" si="0">VLOOKUP(P3,Tbl_Glob_Conversie,3,FALSE)</f>
        <v>kcal</v>
      </c>
      <c r="Q4" s="450" t="str">
        <f t="shared" si="0"/>
        <v>gram</v>
      </c>
      <c r="R4" s="450" t="str">
        <f t="shared" si="0"/>
        <v>gram</v>
      </c>
      <c r="S4" s="450" t="str">
        <f t="shared" si="0"/>
        <v>gram</v>
      </c>
      <c r="T4" s="450" t="str">
        <f t="shared" si="0"/>
        <v>mmol</v>
      </c>
      <c r="U4" s="450" t="str">
        <f t="shared" si="0"/>
        <v>mmol</v>
      </c>
      <c r="V4" s="450" t="str">
        <f t="shared" si="0"/>
        <v>mmol</v>
      </c>
      <c r="W4" s="450" t="str">
        <f t="shared" si="0"/>
        <v>mmol</v>
      </c>
      <c r="X4" s="450" t="str">
        <f t="shared" si="0"/>
        <v>mmol</v>
      </c>
      <c r="Y4" s="450" t="str">
        <f t="shared" si="0"/>
        <v>mmol</v>
      </c>
      <c r="Z4" s="450" t="str">
        <f t="shared" si="0"/>
        <v>IE</v>
      </c>
      <c r="AA4" s="450" t="str">
        <f t="shared" si="0"/>
        <v>mmol</v>
      </c>
      <c r="AG4" s="451"/>
      <c r="AH4" s="448"/>
      <c r="AI4" s="451"/>
    </row>
    <row r="5" spans="1:35" x14ac:dyDescent="0.2">
      <c r="A5" s="451"/>
      <c r="B5" s="451">
        <v>2</v>
      </c>
      <c r="C5" s="451">
        <v>3</v>
      </c>
      <c r="D5" s="451">
        <v>4</v>
      </c>
      <c r="E5" s="451">
        <v>5</v>
      </c>
      <c r="F5" s="451">
        <v>6</v>
      </c>
      <c r="G5" s="451">
        <v>7</v>
      </c>
      <c r="H5" s="451">
        <v>8</v>
      </c>
      <c r="I5" s="451">
        <v>9</v>
      </c>
      <c r="J5" s="451">
        <v>10</v>
      </c>
      <c r="K5" s="451">
        <v>11</v>
      </c>
      <c r="L5" s="451">
        <v>12</v>
      </c>
      <c r="M5" s="451">
        <v>13</v>
      </c>
      <c r="N5" s="451"/>
      <c r="O5" s="451"/>
      <c r="AG5" s="451"/>
      <c r="AH5" s="448"/>
      <c r="AI5" s="451"/>
    </row>
    <row r="6" spans="1:35" x14ac:dyDescent="0.2">
      <c r="A6" s="321" t="s">
        <v>123</v>
      </c>
      <c r="B6" s="321">
        <v>68</v>
      </c>
      <c r="C6" s="321">
        <v>1</v>
      </c>
      <c r="D6" s="453">
        <v>7.0000000000000009</v>
      </c>
      <c r="E6" s="453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53">
        <v>0.1</v>
      </c>
      <c r="L6" s="321">
        <v>0</v>
      </c>
      <c r="M6" s="321">
        <v>43</v>
      </c>
      <c r="N6" s="451"/>
      <c r="O6" s="451" t="str">
        <f>A6</f>
        <v>MM</v>
      </c>
      <c r="P6" s="450">
        <f t="shared" ref="P6:P38" si="1">VLOOKUP(P$3,Tbl_Glob_Conversie,2,FALSE)*B6/100</f>
        <v>0.68</v>
      </c>
      <c r="Q6" s="450">
        <f t="shared" ref="Q6:Q38" si="2">VLOOKUP(Q$3,Tbl_Glob_Conversie,2,FALSE)*C6/100</f>
        <v>0.01</v>
      </c>
      <c r="R6" s="450">
        <f t="shared" ref="R6:R38" si="3">VLOOKUP(R$3,Tbl_Glob_Conversie,2,FALSE)*D6/100</f>
        <v>7.0000000000000007E-2</v>
      </c>
      <c r="S6" s="450">
        <f t="shared" ref="S6:S38" si="4">VLOOKUP(S$3,Tbl_Glob_Conversie,2,FALSE)*E6/100</f>
        <v>0.04</v>
      </c>
      <c r="T6" s="450">
        <f t="shared" ref="T6:T38" si="5">VLOOKUP(T$3,Tbl_Glob_Conversie,2,FALSE)*F6/100</f>
        <v>8.6956000000000012E-3</v>
      </c>
      <c r="U6" s="450">
        <f t="shared" ref="U6:U38" si="6">VLOOKUP(U$3,Tbl_Glob_Conversie,2,FALSE)*G6/100</f>
        <v>1.2820500000000002E-2</v>
      </c>
      <c r="V6" s="450">
        <f t="shared" ref="V6:V38" si="7">VLOOKUP(V$3,Tbl_Glob_Conversie,2,FALSE)*H6/100</f>
        <v>7.4700000000000001E-3</v>
      </c>
      <c r="W6" s="450">
        <f t="shared" ref="W6:W38" si="8">VLOOKUP(W$3,Tbl_Glob_Conversie,2,FALSE)*I6/100</f>
        <v>4.8433499999999997E-3</v>
      </c>
      <c r="X6" s="450">
        <f t="shared" ref="X6:X38" si="9">VLOOKUP(X$3,Tbl_Glob_Conversie,2,FALSE)*J6/100</f>
        <v>1.23423E-3</v>
      </c>
      <c r="Y6" s="450">
        <f t="shared" ref="Y6:Y38" si="10">VLOOKUP(Y$3,Tbl_Glob_Conversie,2,FALSE)*K6/100</f>
        <v>1.7899999999999998E-5</v>
      </c>
      <c r="Z6" s="450">
        <f t="shared" ref="Z6:Z38" si="11">VLOOKUP(Z$3,Tbl_Glob_Conversie,2,FALSE)*L6/100</f>
        <v>0</v>
      </c>
      <c r="AA6" s="450">
        <f t="shared" ref="AA6:AA38" si="12">VLOOKUP(AA$3,Tbl_Glob_Conversie,2,FALSE)*M6/100</f>
        <v>1.212858E-2</v>
      </c>
      <c r="AG6" s="451"/>
      <c r="AH6" s="448"/>
      <c r="AI6" s="451"/>
    </row>
    <row r="7" spans="1:35" x14ac:dyDescent="0.2">
      <c r="A7" s="321" t="s">
        <v>746</v>
      </c>
      <c r="B7" s="321">
        <v>80</v>
      </c>
      <c r="C7" s="321">
        <v>2.6</v>
      </c>
      <c r="D7" s="453">
        <v>8.4</v>
      </c>
      <c r="E7" s="453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53">
        <v>1.6</v>
      </c>
      <c r="L7" s="321">
        <v>3</v>
      </c>
      <c r="M7" s="321">
        <v>85</v>
      </c>
      <c r="N7" s="451"/>
      <c r="O7" s="451" t="str">
        <f t="shared" ref="O7:O39" si="13">A7</f>
        <v>Nutrilon Nenatal Start</v>
      </c>
      <c r="P7" s="450">
        <f t="shared" si="1"/>
        <v>0.8</v>
      </c>
      <c r="Q7" s="450">
        <f t="shared" si="2"/>
        <v>2.6000000000000002E-2</v>
      </c>
      <c r="R7" s="450">
        <f t="shared" si="3"/>
        <v>8.4000000000000005E-2</v>
      </c>
      <c r="S7" s="450">
        <f t="shared" si="4"/>
        <v>3.9E-2</v>
      </c>
      <c r="T7" s="450">
        <f t="shared" si="5"/>
        <v>3.0434599999999999E-2</v>
      </c>
      <c r="U7" s="450">
        <f t="shared" si="6"/>
        <v>2.0512800000000001E-2</v>
      </c>
      <c r="V7" s="450">
        <f t="shared" si="7"/>
        <v>2.4899999999999999E-2</v>
      </c>
      <c r="W7" s="450">
        <f t="shared" si="8"/>
        <v>1.8081839999999998E-2</v>
      </c>
      <c r="X7" s="450">
        <f t="shared" si="9"/>
        <v>3.2912799999999997E-3</v>
      </c>
      <c r="Y7" s="450">
        <f t="shared" si="10"/>
        <v>2.8639999999999997E-4</v>
      </c>
      <c r="Z7" s="450">
        <f t="shared" si="11"/>
        <v>1.2</v>
      </c>
      <c r="AA7" s="450">
        <f t="shared" si="12"/>
        <v>2.3975099999999999E-2</v>
      </c>
      <c r="AG7" s="451"/>
      <c r="AH7" s="448"/>
      <c r="AI7" s="451"/>
    </row>
    <row r="8" spans="1:35" x14ac:dyDescent="0.2">
      <c r="A8" s="321" t="s">
        <v>747</v>
      </c>
      <c r="B8" s="321">
        <v>75</v>
      </c>
      <c r="C8" s="321">
        <v>2</v>
      </c>
      <c r="D8" s="453">
        <v>7.5</v>
      </c>
      <c r="E8" s="453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53">
        <v>1.2</v>
      </c>
      <c r="L8" s="321">
        <v>1.7</v>
      </c>
      <c r="M8" s="321">
        <v>55</v>
      </c>
      <c r="N8" s="451"/>
      <c r="O8" s="451" t="str">
        <f t="shared" si="13"/>
        <v>Nutrilon Nenatal 1</v>
      </c>
      <c r="P8" s="450">
        <f t="shared" si="1"/>
        <v>0.75</v>
      </c>
      <c r="Q8" s="450">
        <f t="shared" si="2"/>
        <v>0.02</v>
      </c>
      <c r="R8" s="450">
        <f t="shared" si="3"/>
        <v>7.4999999999999997E-2</v>
      </c>
      <c r="S8" s="450">
        <f t="shared" si="4"/>
        <v>0.04</v>
      </c>
      <c r="T8" s="450">
        <f t="shared" si="5"/>
        <v>1.217384E-2</v>
      </c>
      <c r="U8" s="450">
        <f t="shared" si="6"/>
        <v>1.9743570000000002E-2</v>
      </c>
      <c r="V8" s="450">
        <f t="shared" si="7"/>
        <v>2.1662999999999998E-2</v>
      </c>
      <c r="W8" s="450">
        <f t="shared" si="8"/>
        <v>1.517583E-2</v>
      </c>
      <c r="X8" s="450">
        <f t="shared" si="9"/>
        <v>2.8798700000000001E-3</v>
      </c>
      <c r="Y8" s="450">
        <f t="shared" si="10"/>
        <v>2.1479999999999999E-4</v>
      </c>
      <c r="Z8" s="450">
        <f t="shared" si="11"/>
        <v>0.68</v>
      </c>
      <c r="AA8" s="450">
        <f t="shared" si="12"/>
        <v>1.5513299999999999E-2</v>
      </c>
    </row>
    <row r="9" spans="1:35" x14ac:dyDescent="0.2">
      <c r="A9" s="321" t="s">
        <v>748</v>
      </c>
      <c r="B9" s="454">
        <v>66</v>
      </c>
      <c r="C9" s="454">
        <v>1.5</v>
      </c>
      <c r="D9" s="455">
        <v>7.2</v>
      </c>
      <c r="E9" s="455">
        <v>3.4</v>
      </c>
      <c r="F9" s="454">
        <v>25</v>
      </c>
      <c r="G9" s="454">
        <v>73</v>
      </c>
      <c r="H9" s="454">
        <v>46</v>
      </c>
      <c r="I9" s="454">
        <v>26</v>
      </c>
      <c r="J9" s="454">
        <v>5.0999999999999996</v>
      </c>
      <c r="K9" s="456">
        <v>0.53</v>
      </c>
      <c r="L9" s="454">
        <v>1.2</v>
      </c>
      <c r="M9" s="321">
        <v>41</v>
      </c>
      <c r="N9" s="451"/>
      <c r="O9" s="451" t="str">
        <f t="shared" si="13"/>
        <v>Nutrilon Hypoallergeen 1</v>
      </c>
      <c r="P9" s="450">
        <f t="shared" si="1"/>
        <v>0.66</v>
      </c>
      <c r="Q9" s="450">
        <f t="shared" si="2"/>
        <v>1.4999999999999999E-2</v>
      </c>
      <c r="R9" s="450">
        <f t="shared" si="3"/>
        <v>7.2000000000000008E-2</v>
      </c>
      <c r="S9" s="450">
        <f t="shared" si="4"/>
        <v>3.4000000000000002E-2</v>
      </c>
      <c r="T9" s="450">
        <f t="shared" si="5"/>
        <v>1.0869500000000001E-2</v>
      </c>
      <c r="U9" s="450">
        <f t="shared" si="6"/>
        <v>1.8717930000000001E-2</v>
      </c>
      <c r="V9" s="450">
        <f t="shared" si="7"/>
        <v>1.1453999999999999E-2</v>
      </c>
      <c r="W9" s="450">
        <f t="shared" si="8"/>
        <v>8.3951400000000006E-3</v>
      </c>
      <c r="X9" s="450">
        <f t="shared" si="9"/>
        <v>2.0981909999999997E-3</v>
      </c>
      <c r="Y9" s="450">
        <f t="shared" si="10"/>
        <v>9.4870000000000005E-5</v>
      </c>
      <c r="Z9" s="450">
        <f t="shared" si="11"/>
        <v>0.48</v>
      </c>
      <c r="AA9" s="450">
        <f t="shared" si="12"/>
        <v>1.1564459999999999E-2</v>
      </c>
    </row>
    <row r="10" spans="1:35" x14ac:dyDescent="0.2">
      <c r="A10" s="321" t="s">
        <v>469</v>
      </c>
      <c r="B10" s="321">
        <v>66</v>
      </c>
      <c r="C10" s="321">
        <v>1.3</v>
      </c>
      <c r="D10" s="453">
        <v>7.3</v>
      </c>
      <c r="E10" s="453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53">
        <v>3.9</v>
      </c>
      <c r="L10" s="321">
        <v>8.6999999999999993</v>
      </c>
      <c r="M10" s="321">
        <v>42</v>
      </c>
      <c r="N10" s="451"/>
      <c r="O10" s="451" t="str">
        <f t="shared" si="13"/>
        <v>Nutrilon Standaard 1</v>
      </c>
      <c r="P10" s="450">
        <f t="shared" si="1"/>
        <v>0.66</v>
      </c>
      <c r="Q10" s="450">
        <f t="shared" si="2"/>
        <v>1.3000000000000001E-2</v>
      </c>
      <c r="R10" s="450">
        <f t="shared" si="3"/>
        <v>7.2999999999999995E-2</v>
      </c>
      <c r="S10" s="450">
        <f t="shared" si="4"/>
        <v>3.4000000000000002E-2</v>
      </c>
      <c r="T10" s="450">
        <f t="shared" si="5"/>
        <v>7.3912600000000002E-3</v>
      </c>
      <c r="U10" s="450">
        <f t="shared" si="6"/>
        <v>1.7435880000000001E-2</v>
      </c>
      <c r="V10" s="450">
        <f t="shared" si="7"/>
        <v>1.4193000000000001E-2</v>
      </c>
      <c r="W10" s="450">
        <f t="shared" si="8"/>
        <v>1.033248E-2</v>
      </c>
      <c r="X10" s="450">
        <f t="shared" si="9"/>
        <v>2.0981909999999997E-3</v>
      </c>
      <c r="Y10" s="450">
        <f t="shared" si="10"/>
        <v>6.981E-4</v>
      </c>
      <c r="Z10" s="450">
        <f t="shared" si="11"/>
        <v>3.48</v>
      </c>
      <c r="AA10" s="450">
        <f t="shared" si="12"/>
        <v>1.1846520000000001E-2</v>
      </c>
    </row>
    <row r="11" spans="1:35" x14ac:dyDescent="0.2">
      <c r="A11" s="321" t="s">
        <v>811</v>
      </c>
      <c r="B11" s="321">
        <v>68</v>
      </c>
      <c r="C11" s="321">
        <v>1.4</v>
      </c>
      <c r="D11" s="453">
        <v>8.6</v>
      </c>
      <c r="E11" s="453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53">
        <v>7</v>
      </c>
      <c r="L11" s="321">
        <v>1.4</v>
      </c>
      <c r="M11" s="321">
        <v>47</v>
      </c>
      <c r="N11" s="451"/>
      <c r="O11" s="451" t="str">
        <f t="shared" si="13"/>
        <v>Nutrilon Standaard 2</v>
      </c>
      <c r="P11" s="450">
        <f t="shared" si="1"/>
        <v>0.68</v>
      </c>
      <c r="Q11" s="450">
        <f t="shared" si="2"/>
        <v>1.3999999999999999E-2</v>
      </c>
      <c r="R11" s="450">
        <f t="shared" si="3"/>
        <v>8.5999999999999993E-2</v>
      </c>
      <c r="S11" s="450">
        <f t="shared" si="4"/>
        <v>0.03</v>
      </c>
      <c r="T11" s="450">
        <f t="shared" si="5"/>
        <v>9.9999400000000006E-3</v>
      </c>
      <c r="U11" s="450">
        <f t="shared" si="6"/>
        <v>1.8974339999999999E-2</v>
      </c>
      <c r="V11" s="450">
        <f t="shared" si="7"/>
        <v>1.6184999999999998E-2</v>
      </c>
      <c r="W11" s="450">
        <f t="shared" si="8"/>
        <v>1.162404E-2</v>
      </c>
      <c r="X11" s="450">
        <f t="shared" si="9"/>
        <v>1.974768E-3</v>
      </c>
      <c r="Y11" s="450">
        <f t="shared" si="10"/>
        <v>1.253E-3</v>
      </c>
      <c r="Z11" s="450">
        <f t="shared" si="11"/>
        <v>0.56000000000000005</v>
      </c>
      <c r="AA11" s="450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53">
        <v>10.3</v>
      </c>
      <c r="E12" s="453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53">
        <v>1.2</v>
      </c>
      <c r="L12" s="321">
        <v>1.9</v>
      </c>
      <c r="M12" s="321">
        <v>62</v>
      </c>
      <c r="N12" s="451"/>
      <c r="O12" s="451" t="str">
        <f t="shared" si="13"/>
        <v>Infatrini</v>
      </c>
      <c r="P12" s="450">
        <f t="shared" si="1"/>
        <v>1</v>
      </c>
      <c r="Q12" s="450">
        <f t="shared" si="2"/>
        <v>2.6000000000000002E-2</v>
      </c>
      <c r="R12" s="450">
        <f t="shared" si="3"/>
        <v>0.10300000000000001</v>
      </c>
      <c r="S12" s="450">
        <f t="shared" si="4"/>
        <v>5.4000000000000006E-2</v>
      </c>
      <c r="T12" s="450">
        <f t="shared" si="5"/>
        <v>1.6086860000000001E-2</v>
      </c>
      <c r="U12" s="450">
        <f t="shared" si="6"/>
        <v>2.4358950000000001E-2</v>
      </c>
      <c r="V12" s="450">
        <f t="shared" si="7"/>
        <v>2.4899999999999999E-2</v>
      </c>
      <c r="W12" s="450">
        <f t="shared" si="8"/>
        <v>1.6144499999999999E-2</v>
      </c>
      <c r="X12" s="450">
        <f t="shared" si="9"/>
        <v>3.7026899999999998E-3</v>
      </c>
      <c r="Y12" s="450">
        <f t="shared" si="10"/>
        <v>2.1479999999999999E-4</v>
      </c>
      <c r="Z12" s="450">
        <f t="shared" si="11"/>
        <v>0.76</v>
      </c>
      <c r="AA12" s="450">
        <f t="shared" si="12"/>
        <v>1.7487719999999998E-2</v>
      </c>
    </row>
    <row r="13" spans="1:35" x14ac:dyDescent="0.2">
      <c r="A13" s="321" t="s">
        <v>827</v>
      </c>
      <c r="B13" s="321">
        <v>100</v>
      </c>
      <c r="C13" s="321">
        <v>2.6</v>
      </c>
      <c r="D13" s="453">
        <v>10.3</v>
      </c>
      <c r="E13" s="453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53">
        <v>1</v>
      </c>
      <c r="L13" s="321">
        <v>1.7</v>
      </c>
      <c r="M13" s="321">
        <v>64</v>
      </c>
      <c r="N13" s="451"/>
      <c r="O13" s="451" t="str">
        <f t="shared" si="13"/>
        <v>Infatrini Peptisorb</v>
      </c>
      <c r="P13" s="450">
        <f t="shared" si="1"/>
        <v>1</v>
      </c>
      <c r="Q13" s="450">
        <f t="shared" si="2"/>
        <v>2.6000000000000002E-2</v>
      </c>
      <c r="R13" s="450">
        <f t="shared" si="3"/>
        <v>0.10300000000000001</v>
      </c>
      <c r="S13" s="450">
        <f t="shared" si="4"/>
        <v>5.4000000000000006E-2</v>
      </c>
      <c r="T13" s="450">
        <f t="shared" si="5"/>
        <v>1.391296E-2</v>
      </c>
      <c r="U13" s="450">
        <f t="shared" si="6"/>
        <v>2.769228E-2</v>
      </c>
      <c r="V13" s="450">
        <f t="shared" si="7"/>
        <v>1.992E-2</v>
      </c>
      <c r="W13" s="450">
        <f t="shared" si="8"/>
        <v>1.2915600000000001E-2</v>
      </c>
      <c r="X13" s="450">
        <f t="shared" si="9"/>
        <v>3.2912799999999997E-3</v>
      </c>
      <c r="Y13" s="450">
        <f t="shared" si="10"/>
        <v>1.7899999999999999E-4</v>
      </c>
      <c r="Z13" s="450">
        <f t="shared" si="11"/>
        <v>0.68</v>
      </c>
      <c r="AA13" s="450">
        <f t="shared" si="12"/>
        <v>1.805184E-2</v>
      </c>
    </row>
    <row r="14" spans="1:35" x14ac:dyDescent="0.2">
      <c r="A14" s="321" t="s">
        <v>823</v>
      </c>
      <c r="B14" s="321">
        <v>67</v>
      </c>
      <c r="C14" s="321">
        <v>1.6</v>
      </c>
      <c r="D14" s="453">
        <v>7</v>
      </c>
      <c r="E14" s="453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6">
        <v>0.53</v>
      </c>
      <c r="L14" s="321">
        <v>1.3</v>
      </c>
      <c r="M14" s="321">
        <v>40</v>
      </c>
      <c r="N14" s="451"/>
      <c r="O14" s="451" t="str">
        <f t="shared" si="13"/>
        <v>Nutrilon Pepti 1</v>
      </c>
      <c r="P14" s="450">
        <f t="shared" si="1"/>
        <v>0.67</v>
      </c>
      <c r="Q14" s="450">
        <f t="shared" si="2"/>
        <v>1.6E-2</v>
      </c>
      <c r="R14" s="450">
        <f t="shared" si="3"/>
        <v>7.0000000000000007E-2</v>
      </c>
      <c r="S14" s="450">
        <f t="shared" si="4"/>
        <v>3.5000000000000003E-2</v>
      </c>
      <c r="T14" s="450">
        <f t="shared" si="5"/>
        <v>8.6956000000000012E-3</v>
      </c>
      <c r="U14" s="450">
        <f t="shared" si="6"/>
        <v>2.076921E-2</v>
      </c>
      <c r="V14" s="450">
        <f t="shared" si="7"/>
        <v>1.1702999999999998E-2</v>
      </c>
      <c r="W14" s="450">
        <f t="shared" si="8"/>
        <v>8.3951400000000006E-3</v>
      </c>
      <c r="X14" s="450">
        <f t="shared" si="9"/>
        <v>2.1804729999999996E-3</v>
      </c>
      <c r="Y14" s="450">
        <f t="shared" si="10"/>
        <v>9.4870000000000005E-5</v>
      </c>
      <c r="Z14" s="450">
        <f t="shared" si="11"/>
        <v>0.52</v>
      </c>
      <c r="AA14" s="450">
        <f t="shared" si="12"/>
        <v>1.12824E-2</v>
      </c>
    </row>
    <row r="15" spans="1:35" x14ac:dyDescent="0.2">
      <c r="A15" s="321" t="s">
        <v>386</v>
      </c>
      <c r="B15" s="321">
        <v>101</v>
      </c>
      <c r="C15" s="321">
        <v>2.7</v>
      </c>
      <c r="D15" s="453">
        <v>12.3</v>
      </c>
      <c r="E15" s="453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7">
        <v>1</v>
      </c>
      <c r="L15" s="321">
        <v>1</v>
      </c>
      <c r="M15" s="321">
        <v>95</v>
      </c>
      <c r="N15" s="451"/>
      <c r="O15" s="451" t="str">
        <f t="shared" si="13"/>
        <v>Nutrini Multi Fibre</v>
      </c>
      <c r="P15" s="450">
        <f t="shared" si="1"/>
        <v>1.01</v>
      </c>
      <c r="Q15" s="450">
        <f t="shared" si="2"/>
        <v>2.7000000000000003E-2</v>
      </c>
      <c r="R15" s="450">
        <f t="shared" si="3"/>
        <v>0.12300000000000001</v>
      </c>
      <c r="S15" s="450">
        <f t="shared" si="4"/>
        <v>4.4000000000000004E-2</v>
      </c>
      <c r="T15" s="450">
        <f t="shared" si="5"/>
        <v>2.60868E-2</v>
      </c>
      <c r="U15" s="450">
        <f t="shared" si="6"/>
        <v>2.82051E-2</v>
      </c>
      <c r="V15" s="450">
        <f t="shared" si="7"/>
        <v>1.494E-2</v>
      </c>
      <c r="W15" s="450">
        <f t="shared" si="8"/>
        <v>1.6144499999999999E-2</v>
      </c>
      <c r="X15" s="450">
        <f t="shared" si="9"/>
        <v>4.5255099999999999E-3</v>
      </c>
      <c r="Y15" s="450">
        <f t="shared" si="10"/>
        <v>1.7899999999999999E-4</v>
      </c>
      <c r="Z15" s="450">
        <f t="shared" si="11"/>
        <v>0.4</v>
      </c>
      <c r="AA15" s="450">
        <f t="shared" si="12"/>
        <v>2.6795699999999999E-2</v>
      </c>
    </row>
    <row r="16" spans="1:35" x14ac:dyDescent="0.2">
      <c r="A16" s="321" t="s">
        <v>387</v>
      </c>
      <c r="B16" s="321">
        <v>151</v>
      </c>
      <c r="C16" s="321">
        <v>4</v>
      </c>
      <c r="D16" s="453">
        <v>18.5</v>
      </c>
      <c r="E16" s="453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53">
        <v>1.5</v>
      </c>
      <c r="L16" s="321">
        <v>1.5</v>
      </c>
      <c r="M16" s="321">
        <v>143</v>
      </c>
      <c r="N16" s="451"/>
      <c r="O16" s="451" t="str">
        <f t="shared" si="13"/>
        <v>Nutrini Energy Multi Fibre</v>
      </c>
      <c r="P16" s="450">
        <f t="shared" si="1"/>
        <v>1.51</v>
      </c>
      <c r="Q16" s="450">
        <f t="shared" si="2"/>
        <v>0.04</v>
      </c>
      <c r="R16" s="450">
        <f t="shared" si="3"/>
        <v>0.185</v>
      </c>
      <c r="S16" s="450">
        <f t="shared" si="4"/>
        <v>6.7000000000000004E-2</v>
      </c>
      <c r="T16" s="450">
        <f t="shared" si="5"/>
        <v>3.9130200000000004E-2</v>
      </c>
      <c r="U16" s="450">
        <f t="shared" si="6"/>
        <v>4.2307650000000002E-2</v>
      </c>
      <c r="V16" s="450">
        <f t="shared" si="7"/>
        <v>2.2409999999999996E-2</v>
      </c>
      <c r="W16" s="450">
        <f t="shared" si="8"/>
        <v>2.4216749999999999E-2</v>
      </c>
      <c r="X16" s="450">
        <f t="shared" si="9"/>
        <v>6.9939699999999995E-3</v>
      </c>
      <c r="Y16" s="450">
        <f t="shared" si="10"/>
        <v>2.6849999999999997E-4</v>
      </c>
      <c r="Z16" s="450">
        <f t="shared" si="11"/>
        <v>0.6</v>
      </c>
      <c r="AA16" s="450">
        <f t="shared" si="12"/>
        <v>4.0334579999999995E-2</v>
      </c>
    </row>
    <row r="17" spans="1:27" x14ac:dyDescent="0.2">
      <c r="A17" s="321" t="s">
        <v>828</v>
      </c>
      <c r="B17" s="321">
        <v>100</v>
      </c>
      <c r="C17" s="321">
        <v>2.8</v>
      </c>
      <c r="D17" s="453">
        <v>13.7</v>
      </c>
      <c r="E17" s="453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7">
        <v>1</v>
      </c>
      <c r="L17" s="457">
        <v>1</v>
      </c>
      <c r="M17" s="321">
        <v>95</v>
      </c>
      <c r="N17" s="451"/>
      <c r="O17" s="451" t="str">
        <f t="shared" si="13"/>
        <v>Nutrini Peptisorb</v>
      </c>
      <c r="P17" s="450">
        <f t="shared" si="1"/>
        <v>1</v>
      </c>
      <c r="Q17" s="450">
        <f t="shared" si="2"/>
        <v>2.7999999999999997E-2</v>
      </c>
      <c r="R17" s="450">
        <f t="shared" si="3"/>
        <v>0.13699999999999998</v>
      </c>
      <c r="S17" s="450">
        <f t="shared" si="4"/>
        <v>3.9E-2</v>
      </c>
      <c r="T17" s="450">
        <f t="shared" si="5"/>
        <v>2.60868E-2</v>
      </c>
      <c r="U17" s="450">
        <f t="shared" si="6"/>
        <v>2.82051E-2</v>
      </c>
      <c r="V17" s="450">
        <f t="shared" si="7"/>
        <v>1.494E-2</v>
      </c>
      <c r="W17" s="450">
        <f t="shared" si="8"/>
        <v>1.6144499999999999E-2</v>
      </c>
      <c r="X17" s="450">
        <f t="shared" si="9"/>
        <v>4.5255099999999999E-3</v>
      </c>
      <c r="Y17" s="450">
        <f t="shared" si="10"/>
        <v>1.7899999999999999E-4</v>
      </c>
      <c r="Z17" s="450">
        <f t="shared" si="11"/>
        <v>0.4</v>
      </c>
      <c r="AA17" s="450">
        <f t="shared" si="12"/>
        <v>2.6795699999999999E-2</v>
      </c>
    </row>
    <row r="18" spans="1:27" x14ac:dyDescent="0.2">
      <c r="A18" s="321" t="s">
        <v>835</v>
      </c>
      <c r="B18" s="321">
        <v>68</v>
      </c>
      <c r="C18" s="321">
        <v>1.6</v>
      </c>
      <c r="D18" s="453">
        <v>8.1</v>
      </c>
      <c r="E18" s="453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53">
        <v>1</v>
      </c>
      <c r="L18" s="321">
        <v>1.4</v>
      </c>
      <c r="M18" s="321">
        <v>42</v>
      </c>
      <c r="N18" s="451"/>
      <c r="O18" s="451" t="str">
        <f t="shared" si="13"/>
        <v>Nutrilon Pepti 2</v>
      </c>
      <c r="P18" s="450">
        <f t="shared" si="1"/>
        <v>0.68</v>
      </c>
      <c r="Q18" s="450">
        <f t="shared" si="2"/>
        <v>1.6E-2</v>
      </c>
      <c r="R18" s="450">
        <f t="shared" si="3"/>
        <v>8.1000000000000003E-2</v>
      </c>
      <c r="S18" s="450">
        <f t="shared" si="4"/>
        <v>3.1E-2</v>
      </c>
      <c r="T18" s="450">
        <f t="shared" si="5"/>
        <v>1.0869500000000001E-2</v>
      </c>
      <c r="U18" s="450">
        <f t="shared" si="6"/>
        <v>1.9999980000000001E-2</v>
      </c>
      <c r="V18" s="450">
        <f t="shared" si="7"/>
        <v>1.5687E-2</v>
      </c>
      <c r="W18" s="450">
        <f t="shared" si="8"/>
        <v>1.194693E-2</v>
      </c>
      <c r="X18" s="450">
        <f t="shared" si="9"/>
        <v>2.262755E-3</v>
      </c>
      <c r="Y18" s="450">
        <f t="shared" si="10"/>
        <v>1.7899999999999999E-4</v>
      </c>
      <c r="Z18" s="450">
        <f t="shared" si="11"/>
        <v>0.56000000000000005</v>
      </c>
      <c r="AA18" s="450">
        <f t="shared" si="12"/>
        <v>1.1846520000000001E-2</v>
      </c>
    </row>
    <row r="19" spans="1:27" x14ac:dyDescent="0.2">
      <c r="A19" s="321" t="s">
        <v>389</v>
      </c>
      <c r="B19" s="321">
        <v>102</v>
      </c>
      <c r="C19" s="321">
        <v>3.3</v>
      </c>
      <c r="D19" s="453">
        <v>12.3</v>
      </c>
      <c r="E19" s="453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53">
        <v>1.3</v>
      </c>
      <c r="L19" s="321">
        <v>0.7</v>
      </c>
      <c r="M19" s="321">
        <v>125</v>
      </c>
      <c r="N19" s="451"/>
      <c r="O19" s="451" t="str">
        <f t="shared" si="13"/>
        <v>NutriniMax Multi Fibre</v>
      </c>
      <c r="P19" s="450">
        <f t="shared" si="1"/>
        <v>1.02</v>
      </c>
      <c r="Q19" s="450">
        <f t="shared" si="2"/>
        <v>3.3000000000000002E-2</v>
      </c>
      <c r="R19" s="450">
        <f t="shared" si="3"/>
        <v>0.12300000000000001</v>
      </c>
      <c r="S19" s="450">
        <f t="shared" si="4"/>
        <v>4.2000000000000003E-2</v>
      </c>
      <c r="T19" s="450">
        <f t="shared" si="5"/>
        <v>3.4782400000000005E-2</v>
      </c>
      <c r="U19" s="450">
        <f t="shared" si="6"/>
        <v>3.5384579999999999E-2</v>
      </c>
      <c r="V19" s="450">
        <f t="shared" si="7"/>
        <v>1.7429999999999998E-2</v>
      </c>
      <c r="W19" s="450">
        <f t="shared" si="8"/>
        <v>1.9373399999999999E-2</v>
      </c>
      <c r="X19" s="450">
        <f t="shared" si="9"/>
        <v>6.9939699999999995E-3</v>
      </c>
      <c r="Y19" s="450">
        <f t="shared" si="10"/>
        <v>2.3269999999999999E-4</v>
      </c>
      <c r="Z19" s="450">
        <f t="shared" si="11"/>
        <v>0.28000000000000003</v>
      </c>
      <c r="AA19" s="450">
        <f t="shared" si="12"/>
        <v>3.5257499999999997E-2</v>
      </c>
    </row>
    <row r="20" spans="1:27" x14ac:dyDescent="0.2">
      <c r="A20" s="321" t="s">
        <v>390</v>
      </c>
      <c r="B20" s="321">
        <v>152</v>
      </c>
      <c r="C20" s="321">
        <v>4.8</v>
      </c>
      <c r="D20" s="453">
        <v>18.5</v>
      </c>
      <c r="E20" s="453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53">
        <v>2</v>
      </c>
      <c r="L20" s="321">
        <v>1.1000000000000001</v>
      </c>
      <c r="M20" s="321">
        <v>147</v>
      </c>
      <c r="N20" s="451"/>
      <c r="O20" s="451" t="str">
        <f t="shared" si="13"/>
        <v>NutriniMax Energy Multi Fibre</v>
      </c>
      <c r="P20" s="450">
        <f t="shared" si="1"/>
        <v>1.52</v>
      </c>
      <c r="Q20" s="450">
        <f t="shared" si="2"/>
        <v>4.8000000000000001E-2</v>
      </c>
      <c r="R20" s="450">
        <f t="shared" si="3"/>
        <v>0.185</v>
      </c>
      <c r="S20" s="450">
        <f t="shared" si="4"/>
        <v>6.3E-2</v>
      </c>
      <c r="T20" s="450">
        <f t="shared" si="5"/>
        <v>4.6521460000000001E-2</v>
      </c>
      <c r="U20" s="450">
        <f t="shared" si="6"/>
        <v>4.769226E-2</v>
      </c>
      <c r="V20" s="450">
        <f t="shared" si="7"/>
        <v>2.3654999999999999E-2</v>
      </c>
      <c r="W20" s="450">
        <f t="shared" si="8"/>
        <v>2.9060099999999998E-2</v>
      </c>
      <c r="X20" s="450">
        <f t="shared" si="9"/>
        <v>1.069666E-2</v>
      </c>
      <c r="Y20" s="450">
        <f t="shared" si="10"/>
        <v>3.5799999999999997E-4</v>
      </c>
      <c r="Z20" s="450">
        <f t="shared" si="11"/>
        <v>0.44</v>
      </c>
      <c r="AA20" s="450">
        <f t="shared" si="12"/>
        <v>4.1462819999999991E-2</v>
      </c>
    </row>
    <row r="21" spans="1:27" x14ac:dyDescent="0.2">
      <c r="A21" s="321" t="s">
        <v>392</v>
      </c>
      <c r="B21" s="321">
        <v>103</v>
      </c>
      <c r="C21" s="321">
        <v>4</v>
      </c>
      <c r="D21" s="453">
        <v>12.3</v>
      </c>
      <c r="E21" s="453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55">
        <v>1.6</v>
      </c>
      <c r="L21" s="454">
        <v>1</v>
      </c>
      <c r="M21" s="321">
        <v>125</v>
      </c>
      <c r="N21" s="451"/>
      <c r="O21" s="451" t="str">
        <f t="shared" si="13"/>
        <v>Nutrison Multi Fibre</v>
      </c>
      <c r="P21" s="450">
        <f t="shared" si="1"/>
        <v>1.03</v>
      </c>
      <c r="Q21" s="450">
        <f t="shared" si="2"/>
        <v>0.04</v>
      </c>
      <c r="R21" s="450">
        <f t="shared" si="3"/>
        <v>0.12300000000000001</v>
      </c>
      <c r="S21" s="450">
        <f t="shared" si="4"/>
        <v>3.9E-2</v>
      </c>
      <c r="T21" s="450">
        <f t="shared" si="5"/>
        <v>4.3478000000000003E-2</v>
      </c>
      <c r="U21" s="450">
        <f t="shared" si="6"/>
        <v>3.8461500000000003E-2</v>
      </c>
      <c r="V21" s="450">
        <f t="shared" si="7"/>
        <v>1.992E-2</v>
      </c>
      <c r="W21" s="450">
        <f t="shared" si="8"/>
        <v>2.3248080000000001E-2</v>
      </c>
      <c r="X21" s="450">
        <f t="shared" si="9"/>
        <v>9.4624299999999991E-3</v>
      </c>
      <c r="Y21" s="450">
        <f t="shared" si="10"/>
        <v>2.8639999999999997E-4</v>
      </c>
      <c r="Z21" s="450">
        <f t="shared" si="11"/>
        <v>0.4</v>
      </c>
      <c r="AA21" s="450">
        <f t="shared" si="12"/>
        <v>3.5257499999999997E-2</v>
      </c>
    </row>
    <row r="22" spans="1:27" x14ac:dyDescent="0.2">
      <c r="A22" s="321" t="s">
        <v>393</v>
      </c>
      <c r="B22" s="321">
        <v>153</v>
      </c>
      <c r="C22" s="321">
        <v>6</v>
      </c>
      <c r="D22" s="453">
        <v>18.399999999999999</v>
      </c>
      <c r="E22" s="453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55">
        <v>2.4</v>
      </c>
      <c r="L22" s="454">
        <v>1.5</v>
      </c>
      <c r="M22" s="321">
        <v>100</v>
      </c>
      <c r="N22" s="451"/>
      <c r="O22" s="451" t="str">
        <f t="shared" si="13"/>
        <v>Nutrison Energy Multi Fibre</v>
      </c>
      <c r="P22" s="450">
        <f t="shared" si="1"/>
        <v>1.53</v>
      </c>
      <c r="Q22" s="450">
        <f t="shared" si="2"/>
        <v>0.06</v>
      </c>
      <c r="R22" s="450">
        <f t="shared" si="3"/>
        <v>0.184</v>
      </c>
      <c r="S22" s="450">
        <f t="shared" si="4"/>
        <v>5.7999999999999996E-2</v>
      </c>
      <c r="T22" s="450">
        <f t="shared" si="5"/>
        <v>5.826052000000001E-2</v>
      </c>
      <c r="U22" s="450">
        <f t="shared" si="6"/>
        <v>5.153841E-2</v>
      </c>
      <c r="V22" s="450">
        <f t="shared" si="7"/>
        <v>2.0915999999999997E-2</v>
      </c>
      <c r="W22" s="450">
        <f t="shared" si="8"/>
        <v>2.7122759999999996E-2</v>
      </c>
      <c r="X22" s="450">
        <f t="shared" si="9"/>
        <v>1.2342299999999999E-2</v>
      </c>
      <c r="Y22" s="450">
        <f t="shared" si="10"/>
        <v>4.2959999999999998E-4</v>
      </c>
      <c r="Z22" s="450">
        <f t="shared" si="11"/>
        <v>0.6</v>
      </c>
      <c r="AA22" s="450">
        <f t="shared" si="12"/>
        <v>2.8205999999999998E-2</v>
      </c>
    </row>
    <row r="23" spans="1:27" x14ac:dyDescent="0.2">
      <c r="A23" s="321" t="s">
        <v>829</v>
      </c>
      <c r="B23" s="321">
        <v>100</v>
      </c>
      <c r="C23" s="321">
        <v>4</v>
      </c>
      <c r="D23" s="453">
        <v>17.600000000000001</v>
      </c>
      <c r="E23" s="453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55">
        <v>1.6</v>
      </c>
      <c r="L23" s="454">
        <v>0.7</v>
      </c>
      <c r="M23" s="321">
        <v>125</v>
      </c>
      <c r="N23" s="451"/>
      <c r="O23" s="451" t="str">
        <f t="shared" si="13"/>
        <v>Nutrison Adv Peptisorb</v>
      </c>
      <c r="P23" s="450">
        <f t="shared" si="1"/>
        <v>1</v>
      </c>
      <c r="Q23" s="450">
        <f t="shared" si="2"/>
        <v>0.04</v>
      </c>
      <c r="R23" s="450">
        <f t="shared" si="3"/>
        <v>0.17600000000000002</v>
      </c>
      <c r="S23" s="450">
        <f t="shared" si="4"/>
        <v>1.7000000000000001E-2</v>
      </c>
      <c r="T23" s="450">
        <f t="shared" si="5"/>
        <v>4.3478000000000003E-2</v>
      </c>
      <c r="U23" s="450">
        <f t="shared" si="6"/>
        <v>3.8461500000000003E-2</v>
      </c>
      <c r="V23" s="450">
        <f t="shared" si="7"/>
        <v>1.992E-2</v>
      </c>
      <c r="W23" s="450">
        <f t="shared" si="8"/>
        <v>2.3248080000000001E-2</v>
      </c>
      <c r="X23" s="450">
        <f t="shared" si="9"/>
        <v>9.4624299999999991E-3</v>
      </c>
      <c r="Y23" s="450">
        <f t="shared" si="10"/>
        <v>2.8639999999999997E-4</v>
      </c>
      <c r="Z23" s="450">
        <f t="shared" si="11"/>
        <v>0.28000000000000003</v>
      </c>
      <c r="AA23" s="450">
        <f t="shared" si="12"/>
        <v>3.5257499999999997E-2</v>
      </c>
    </row>
    <row r="24" spans="1:27" x14ac:dyDescent="0.2">
      <c r="A24" s="321" t="s">
        <v>749</v>
      </c>
      <c r="B24" s="321">
        <v>67</v>
      </c>
      <c r="C24" s="321">
        <v>1.8</v>
      </c>
      <c r="D24" s="453">
        <v>7.2</v>
      </c>
      <c r="E24" s="453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55">
        <v>1</v>
      </c>
      <c r="L24" s="454">
        <v>1.2</v>
      </c>
      <c r="M24" s="321">
        <v>53.3</v>
      </c>
      <c r="N24" s="451"/>
      <c r="O24" s="451" t="str">
        <f t="shared" si="13"/>
        <v>Nutrilon Neocate</v>
      </c>
      <c r="P24" s="450">
        <f t="shared" si="1"/>
        <v>0.67</v>
      </c>
      <c r="Q24" s="450">
        <f t="shared" si="2"/>
        <v>1.8000000000000002E-2</v>
      </c>
      <c r="R24" s="450">
        <f t="shared" si="3"/>
        <v>7.2000000000000008E-2</v>
      </c>
      <c r="S24" s="450">
        <f t="shared" si="4"/>
        <v>3.4000000000000002E-2</v>
      </c>
      <c r="T24" s="450">
        <f t="shared" si="5"/>
        <v>1.1347758000000001E-2</v>
      </c>
      <c r="U24" s="450">
        <f t="shared" si="6"/>
        <v>1.8589725000000001E-2</v>
      </c>
      <c r="V24" s="450">
        <f t="shared" si="7"/>
        <v>1.6334399999999999E-2</v>
      </c>
      <c r="W24" s="450">
        <f t="shared" si="8"/>
        <v>1.5208118999999999E-2</v>
      </c>
      <c r="X24" s="450">
        <f t="shared" si="9"/>
        <v>2.8798700000000001E-3</v>
      </c>
      <c r="Y24" s="450">
        <f t="shared" si="10"/>
        <v>1.7899999999999999E-4</v>
      </c>
      <c r="Z24" s="450">
        <f t="shared" si="11"/>
        <v>0.48</v>
      </c>
      <c r="AA24" s="450">
        <f t="shared" si="12"/>
        <v>1.5033797999999998E-2</v>
      </c>
    </row>
    <row r="25" spans="1:27" x14ac:dyDescent="0.2">
      <c r="A25" s="321" t="s">
        <v>750</v>
      </c>
      <c r="B25" s="321">
        <v>66</v>
      </c>
      <c r="C25" s="321">
        <v>1.8</v>
      </c>
      <c r="D25" s="453">
        <v>6.8</v>
      </c>
      <c r="E25" s="453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55">
        <v>0.77</v>
      </c>
      <c r="L25" s="454">
        <v>1.3</v>
      </c>
      <c r="M25" s="321">
        <v>40</v>
      </c>
      <c r="N25" s="451"/>
      <c r="O25" s="451" t="str">
        <f t="shared" si="13"/>
        <v>Nutrilon Pepti Junior</v>
      </c>
      <c r="P25" s="450">
        <f t="shared" si="1"/>
        <v>0.66</v>
      </c>
      <c r="Q25" s="450">
        <f t="shared" si="2"/>
        <v>1.8000000000000002E-2</v>
      </c>
      <c r="R25" s="450">
        <f t="shared" si="3"/>
        <v>6.8000000000000005E-2</v>
      </c>
      <c r="S25" s="450">
        <f t="shared" si="4"/>
        <v>3.5000000000000003E-2</v>
      </c>
      <c r="T25" s="450">
        <f t="shared" si="5"/>
        <v>7.8260400000000011E-3</v>
      </c>
      <c r="U25" s="450">
        <f t="shared" si="6"/>
        <v>1.6666650000000002E-2</v>
      </c>
      <c r="V25" s="450">
        <f t="shared" si="7"/>
        <v>1.2449999999999999E-2</v>
      </c>
      <c r="W25" s="450">
        <f t="shared" si="8"/>
        <v>9.0409199999999992E-3</v>
      </c>
      <c r="X25" s="450">
        <f t="shared" si="9"/>
        <v>2.0981909999999997E-3</v>
      </c>
      <c r="Y25" s="450">
        <f t="shared" si="10"/>
        <v>1.3783E-4</v>
      </c>
      <c r="Z25" s="450">
        <f t="shared" si="11"/>
        <v>0.52</v>
      </c>
      <c r="AA25" s="450">
        <f t="shared" si="12"/>
        <v>1.12824E-2</v>
      </c>
    </row>
    <row r="26" spans="1:27" x14ac:dyDescent="0.2">
      <c r="A26" s="458" t="s">
        <v>812</v>
      </c>
      <c r="B26" s="321">
        <v>68</v>
      </c>
      <c r="C26" s="321">
        <v>1</v>
      </c>
      <c r="D26" s="453">
        <v>7.0000000000000009</v>
      </c>
      <c r="E26" s="453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53">
        <v>0.1</v>
      </c>
      <c r="L26" s="321">
        <v>0</v>
      </c>
      <c r="M26" s="321">
        <v>43</v>
      </c>
      <c r="N26" s="451"/>
      <c r="O26" s="451" t="str">
        <f t="shared" si="13"/>
        <v>MM of Nenatal 1</v>
      </c>
      <c r="P26" s="450">
        <f t="shared" si="1"/>
        <v>0.68</v>
      </c>
      <c r="Q26" s="450">
        <f t="shared" si="2"/>
        <v>0.01</v>
      </c>
      <c r="R26" s="450">
        <f t="shared" si="3"/>
        <v>7.0000000000000007E-2</v>
      </c>
      <c r="S26" s="450">
        <f t="shared" si="4"/>
        <v>0.04</v>
      </c>
      <c r="T26" s="450">
        <f t="shared" si="5"/>
        <v>8.6956000000000012E-3</v>
      </c>
      <c r="U26" s="450">
        <f t="shared" si="6"/>
        <v>1.2820500000000002E-2</v>
      </c>
      <c r="V26" s="450">
        <f t="shared" si="7"/>
        <v>7.4700000000000001E-3</v>
      </c>
      <c r="W26" s="450">
        <f t="shared" si="8"/>
        <v>4.8433499999999997E-3</v>
      </c>
      <c r="X26" s="450">
        <f t="shared" si="9"/>
        <v>1.23423E-3</v>
      </c>
      <c r="Y26" s="450">
        <f t="shared" si="10"/>
        <v>1.7899999999999998E-5</v>
      </c>
      <c r="Z26" s="450">
        <f t="shared" si="11"/>
        <v>0</v>
      </c>
      <c r="AA26" s="450">
        <f t="shared" si="12"/>
        <v>1.212858E-2</v>
      </c>
    </row>
    <row r="27" spans="1:27" x14ac:dyDescent="0.2">
      <c r="A27" s="458" t="s">
        <v>813</v>
      </c>
      <c r="B27" s="321">
        <v>68</v>
      </c>
      <c r="C27" s="321">
        <v>1</v>
      </c>
      <c r="D27" s="453">
        <v>7.0000000000000009</v>
      </c>
      <c r="E27" s="453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53">
        <v>0.1</v>
      </c>
      <c r="L27" s="321">
        <v>0</v>
      </c>
      <c r="M27" s="321">
        <v>43</v>
      </c>
      <c r="N27" s="451"/>
      <c r="O27" s="451" t="str">
        <f t="shared" si="13"/>
        <v>MM of Nenatal Start</v>
      </c>
      <c r="P27" s="450">
        <f t="shared" si="1"/>
        <v>0.68</v>
      </c>
      <c r="Q27" s="450">
        <f t="shared" si="2"/>
        <v>0.01</v>
      </c>
      <c r="R27" s="450">
        <f t="shared" si="3"/>
        <v>7.0000000000000007E-2</v>
      </c>
      <c r="S27" s="450">
        <f t="shared" si="4"/>
        <v>0.04</v>
      </c>
      <c r="T27" s="450">
        <f t="shared" si="5"/>
        <v>8.6956000000000012E-3</v>
      </c>
      <c r="U27" s="450">
        <f t="shared" si="6"/>
        <v>1.2820500000000002E-2</v>
      </c>
      <c r="V27" s="450">
        <f t="shared" si="7"/>
        <v>7.4700000000000001E-3</v>
      </c>
      <c r="W27" s="450">
        <f t="shared" si="8"/>
        <v>4.8433499999999997E-3</v>
      </c>
      <c r="X27" s="450">
        <f t="shared" si="9"/>
        <v>1.23423E-3</v>
      </c>
      <c r="Y27" s="450">
        <f t="shared" si="10"/>
        <v>1.7899999999999998E-5</v>
      </c>
      <c r="Z27" s="450">
        <f t="shared" si="11"/>
        <v>0</v>
      </c>
      <c r="AA27" s="450">
        <f t="shared" si="12"/>
        <v>1.212858E-2</v>
      </c>
    </row>
    <row r="28" spans="1:27" x14ac:dyDescent="0.2">
      <c r="A28" s="458" t="s">
        <v>814</v>
      </c>
      <c r="B28" s="321">
        <v>68</v>
      </c>
      <c r="C28" s="321">
        <v>1</v>
      </c>
      <c r="D28" s="453">
        <v>7.0000000000000009</v>
      </c>
      <c r="E28" s="453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53">
        <v>0.1</v>
      </c>
      <c r="L28" s="321">
        <v>0</v>
      </c>
      <c r="M28" s="321">
        <v>43</v>
      </c>
      <c r="N28" s="451"/>
      <c r="O28" s="451" t="str">
        <f t="shared" si="13"/>
        <v>MM of Nutrilon Standaard 1</v>
      </c>
      <c r="P28" s="450">
        <f t="shared" si="1"/>
        <v>0.68</v>
      </c>
      <c r="Q28" s="450">
        <f t="shared" si="2"/>
        <v>0.01</v>
      </c>
      <c r="R28" s="450">
        <f t="shared" si="3"/>
        <v>7.0000000000000007E-2</v>
      </c>
      <c r="S28" s="450">
        <f t="shared" si="4"/>
        <v>0.04</v>
      </c>
      <c r="T28" s="450">
        <f t="shared" si="5"/>
        <v>8.6956000000000012E-3</v>
      </c>
      <c r="U28" s="450">
        <f t="shared" si="6"/>
        <v>1.2820500000000002E-2</v>
      </c>
      <c r="V28" s="450">
        <f t="shared" si="7"/>
        <v>7.4700000000000001E-3</v>
      </c>
      <c r="W28" s="450">
        <f t="shared" si="8"/>
        <v>4.8433499999999997E-3</v>
      </c>
      <c r="X28" s="450">
        <f t="shared" si="9"/>
        <v>1.23423E-3</v>
      </c>
      <c r="Y28" s="450">
        <f t="shared" si="10"/>
        <v>1.7899999999999998E-5</v>
      </c>
      <c r="Z28" s="450">
        <f t="shared" si="11"/>
        <v>0</v>
      </c>
      <c r="AA28" s="450">
        <f t="shared" si="12"/>
        <v>1.212858E-2</v>
      </c>
    </row>
    <row r="29" spans="1:27" x14ac:dyDescent="0.2">
      <c r="A29" s="458" t="s">
        <v>815</v>
      </c>
      <c r="B29" s="321">
        <v>68</v>
      </c>
      <c r="C29" s="321">
        <v>1</v>
      </c>
      <c r="D29" s="453">
        <v>7.0000000000000009</v>
      </c>
      <c r="E29" s="453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53">
        <v>0.1</v>
      </c>
      <c r="L29" s="321">
        <v>0</v>
      </c>
      <c r="M29" s="321">
        <v>43</v>
      </c>
      <c r="N29" s="451"/>
      <c r="O29" s="451" t="str">
        <f t="shared" si="13"/>
        <v>MM of Nutrilon Standaard 2</v>
      </c>
      <c r="P29" s="450">
        <f t="shared" si="1"/>
        <v>0.68</v>
      </c>
      <c r="Q29" s="450">
        <f t="shared" si="2"/>
        <v>0.01</v>
      </c>
      <c r="R29" s="450">
        <f t="shared" si="3"/>
        <v>7.0000000000000007E-2</v>
      </c>
      <c r="S29" s="450">
        <f t="shared" si="4"/>
        <v>0.04</v>
      </c>
      <c r="T29" s="450">
        <f t="shared" si="5"/>
        <v>8.6956000000000012E-3</v>
      </c>
      <c r="U29" s="450">
        <f t="shared" si="6"/>
        <v>1.2820500000000002E-2</v>
      </c>
      <c r="V29" s="450">
        <f t="shared" si="7"/>
        <v>7.4700000000000001E-3</v>
      </c>
      <c r="W29" s="450">
        <f t="shared" si="8"/>
        <v>4.8433499999999997E-3</v>
      </c>
      <c r="X29" s="450">
        <f t="shared" si="9"/>
        <v>1.23423E-3</v>
      </c>
      <c r="Y29" s="450">
        <f t="shared" si="10"/>
        <v>1.7899999999999998E-5</v>
      </c>
      <c r="Z29" s="450">
        <f t="shared" si="11"/>
        <v>0</v>
      </c>
      <c r="AA29" s="450">
        <f t="shared" si="12"/>
        <v>1.212858E-2</v>
      </c>
    </row>
    <row r="30" spans="1:27" x14ac:dyDescent="0.2">
      <c r="A30" s="458" t="s">
        <v>816</v>
      </c>
      <c r="B30" s="321">
        <v>68</v>
      </c>
      <c r="C30" s="321">
        <v>1</v>
      </c>
      <c r="D30" s="453">
        <v>7.0000000000000009</v>
      </c>
      <c r="E30" s="453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53">
        <v>0.1</v>
      </c>
      <c r="L30" s="321">
        <v>0</v>
      </c>
      <c r="M30" s="321">
        <v>43</v>
      </c>
      <c r="N30" s="451"/>
      <c r="O30" s="451" t="str">
        <f t="shared" si="13"/>
        <v>MM of Hypoallergeen</v>
      </c>
      <c r="P30" s="450">
        <f t="shared" si="1"/>
        <v>0.68</v>
      </c>
      <c r="Q30" s="450">
        <f t="shared" si="2"/>
        <v>0.01</v>
      </c>
      <c r="R30" s="450">
        <f t="shared" si="3"/>
        <v>7.0000000000000007E-2</v>
      </c>
      <c r="S30" s="450">
        <f t="shared" si="4"/>
        <v>0.04</v>
      </c>
      <c r="T30" s="450">
        <f t="shared" si="5"/>
        <v>8.6956000000000012E-3</v>
      </c>
      <c r="U30" s="450">
        <f t="shared" si="6"/>
        <v>1.2820500000000002E-2</v>
      </c>
      <c r="V30" s="450">
        <f t="shared" si="7"/>
        <v>7.4700000000000001E-3</v>
      </c>
      <c r="W30" s="450">
        <f t="shared" si="8"/>
        <v>4.8433499999999997E-3</v>
      </c>
      <c r="X30" s="450">
        <f t="shared" si="9"/>
        <v>1.23423E-3</v>
      </c>
      <c r="Y30" s="450">
        <f t="shared" si="10"/>
        <v>1.7899999999999998E-5</v>
      </c>
      <c r="Z30" s="450">
        <f t="shared" si="11"/>
        <v>0</v>
      </c>
      <c r="AA30" s="450">
        <f t="shared" si="12"/>
        <v>1.212858E-2</v>
      </c>
    </row>
    <row r="31" spans="1:27" x14ac:dyDescent="0.2">
      <c r="A31" s="458" t="s">
        <v>817</v>
      </c>
      <c r="B31" s="321">
        <v>68</v>
      </c>
      <c r="C31" s="321">
        <v>1</v>
      </c>
      <c r="D31" s="453">
        <v>7.0000000000000009</v>
      </c>
      <c r="E31" s="453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53">
        <v>0.1</v>
      </c>
      <c r="L31" s="321">
        <v>0</v>
      </c>
      <c r="M31" s="321">
        <v>43</v>
      </c>
      <c r="N31" s="451"/>
      <c r="O31" s="451" t="str">
        <f t="shared" si="13"/>
        <v>MM of Neocate</v>
      </c>
      <c r="P31" s="450">
        <f t="shared" si="1"/>
        <v>0.68</v>
      </c>
      <c r="Q31" s="450">
        <f t="shared" si="2"/>
        <v>0.01</v>
      </c>
      <c r="R31" s="450">
        <f t="shared" si="3"/>
        <v>7.0000000000000007E-2</v>
      </c>
      <c r="S31" s="450">
        <f t="shared" si="4"/>
        <v>0.04</v>
      </c>
      <c r="T31" s="450">
        <f t="shared" si="5"/>
        <v>8.6956000000000012E-3</v>
      </c>
      <c r="U31" s="450">
        <f t="shared" si="6"/>
        <v>1.2820500000000002E-2</v>
      </c>
      <c r="V31" s="450">
        <f t="shared" si="7"/>
        <v>7.4700000000000001E-3</v>
      </c>
      <c r="W31" s="450">
        <f t="shared" si="8"/>
        <v>4.8433499999999997E-3</v>
      </c>
      <c r="X31" s="450">
        <f t="shared" si="9"/>
        <v>1.23423E-3</v>
      </c>
      <c r="Y31" s="450">
        <f t="shared" si="10"/>
        <v>1.7899999999999998E-5</v>
      </c>
      <c r="Z31" s="450">
        <f t="shared" si="11"/>
        <v>0</v>
      </c>
      <c r="AA31" s="450">
        <f t="shared" si="12"/>
        <v>1.212858E-2</v>
      </c>
    </row>
    <row r="32" spans="1:27" x14ac:dyDescent="0.2">
      <c r="A32" s="458" t="s">
        <v>820</v>
      </c>
      <c r="B32" s="458">
        <v>66.3</v>
      </c>
      <c r="C32" s="458">
        <v>1.5</v>
      </c>
      <c r="D32" s="458">
        <v>7</v>
      </c>
      <c r="E32" s="458">
        <v>3.6</v>
      </c>
      <c r="F32" s="458">
        <v>20.3</v>
      </c>
      <c r="G32" s="458">
        <v>67</v>
      </c>
      <c r="H32" s="458">
        <v>53.3</v>
      </c>
      <c r="I32" s="458">
        <v>29.2</v>
      </c>
      <c r="J32" s="458">
        <v>0.08</v>
      </c>
      <c r="K32" s="458">
        <v>0.51</v>
      </c>
      <c r="L32" s="458">
        <v>1.9</v>
      </c>
      <c r="M32" s="321">
        <v>40</v>
      </c>
      <c r="N32" s="451"/>
      <c r="O32" s="451" t="str">
        <f t="shared" si="13"/>
        <v>Nutrilon Caprilon</v>
      </c>
      <c r="P32" s="450">
        <f t="shared" si="1"/>
        <v>0.66299999999999992</v>
      </c>
      <c r="Q32" s="450">
        <f t="shared" si="2"/>
        <v>1.4999999999999999E-2</v>
      </c>
      <c r="R32" s="450">
        <f t="shared" si="3"/>
        <v>7.0000000000000007E-2</v>
      </c>
      <c r="S32" s="450">
        <f t="shared" si="4"/>
        <v>3.6000000000000004E-2</v>
      </c>
      <c r="T32" s="450">
        <f t="shared" si="5"/>
        <v>8.826034E-3</v>
      </c>
      <c r="U32" s="450">
        <f t="shared" si="6"/>
        <v>1.7179470000000002E-2</v>
      </c>
      <c r="V32" s="450">
        <f t="shared" si="7"/>
        <v>1.3271699999999999E-2</v>
      </c>
      <c r="W32" s="450">
        <f t="shared" si="8"/>
        <v>9.4283879999999994E-3</v>
      </c>
      <c r="X32" s="450">
        <f t="shared" si="9"/>
        <v>3.2912799999999994E-5</v>
      </c>
      <c r="Y32" s="450">
        <f t="shared" si="10"/>
        <v>9.1290000000000002E-5</v>
      </c>
      <c r="Z32" s="450">
        <f t="shared" si="11"/>
        <v>0.76</v>
      </c>
      <c r="AA32" s="450">
        <f t="shared" si="12"/>
        <v>1.12824E-2</v>
      </c>
    </row>
    <row r="33" spans="1:27" x14ac:dyDescent="0.2">
      <c r="A33" s="321" t="s">
        <v>751</v>
      </c>
      <c r="B33" s="458">
        <v>66</v>
      </c>
      <c r="C33" s="458">
        <v>1.4</v>
      </c>
      <c r="D33" s="458">
        <v>7.2</v>
      </c>
      <c r="E33" s="458">
        <v>3.5</v>
      </c>
      <c r="F33" s="458">
        <v>20</v>
      </c>
      <c r="G33" s="458">
        <v>65</v>
      </c>
      <c r="H33" s="458">
        <v>50</v>
      </c>
      <c r="I33" s="458">
        <v>30</v>
      </c>
      <c r="J33" s="458">
        <v>6</v>
      </c>
      <c r="K33" s="458">
        <v>0.78</v>
      </c>
      <c r="L33" s="458">
        <v>1.2</v>
      </c>
      <c r="M33" s="458">
        <v>42</v>
      </c>
      <c r="O33" s="451" t="str">
        <f t="shared" si="13"/>
        <v>Hero Baby 1 NS Standaard</v>
      </c>
      <c r="P33" s="450">
        <f t="shared" si="1"/>
        <v>0.66</v>
      </c>
      <c r="Q33" s="450">
        <f t="shared" si="2"/>
        <v>1.3999999999999999E-2</v>
      </c>
      <c r="R33" s="450">
        <f t="shared" si="3"/>
        <v>7.2000000000000008E-2</v>
      </c>
      <c r="S33" s="450">
        <f t="shared" si="4"/>
        <v>3.5000000000000003E-2</v>
      </c>
      <c r="T33" s="450">
        <f t="shared" si="5"/>
        <v>8.6956000000000012E-3</v>
      </c>
      <c r="U33" s="450">
        <f t="shared" si="6"/>
        <v>1.6666650000000002E-2</v>
      </c>
      <c r="V33" s="450">
        <f t="shared" si="7"/>
        <v>1.2449999999999999E-2</v>
      </c>
      <c r="W33" s="450">
        <f t="shared" si="8"/>
        <v>9.6866999999999995E-3</v>
      </c>
      <c r="X33" s="450">
        <f t="shared" si="9"/>
        <v>2.46846E-3</v>
      </c>
      <c r="Y33" s="450">
        <f t="shared" si="10"/>
        <v>1.3961999999999999E-4</v>
      </c>
      <c r="Z33" s="450">
        <f t="shared" si="11"/>
        <v>0.48</v>
      </c>
      <c r="AA33" s="450">
        <f t="shared" si="12"/>
        <v>1.1846520000000001E-2</v>
      </c>
    </row>
    <row r="34" spans="1:27" x14ac:dyDescent="0.2">
      <c r="A34" s="321" t="s">
        <v>752</v>
      </c>
      <c r="B34" s="458">
        <v>70</v>
      </c>
      <c r="C34" s="458">
        <v>1.6</v>
      </c>
      <c r="D34" s="458">
        <v>9.1999999999999993</v>
      </c>
      <c r="E34" s="458">
        <v>2.9</v>
      </c>
      <c r="F34" s="458">
        <v>24</v>
      </c>
      <c r="G34" s="458">
        <v>83</v>
      </c>
      <c r="H34" s="458">
        <v>72</v>
      </c>
      <c r="I34" s="458">
        <v>53</v>
      </c>
      <c r="J34" s="458">
        <v>7.8</v>
      </c>
      <c r="K34" s="458">
        <v>1.1000000000000001</v>
      </c>
      <c r="L34" s="458">
        <v>1.3</v>
      </c>
      <c r="M34" s="458">
        <v>45</v>
      </c>
      <c r="O34" s="451" t="str">
        <f t="shared" si="13"/>
        <v>Hero Baby 2 NS Standaard</v>
      </c>
      <c r="P34" s="450">
        <f t="shared" si="1"/>
        <v>0.7</v>
      </c>
      <c r="Q34" s="450">
        <f t="shared" si="2"/>
        <v>1.6E-2</v>
      </c>
      <c r="R34" s="450">
        <f t="shared" si="3"/>
        <v>9.1999999999999998E-2</v>
      </c>
      <c r="S34" s="450">
        <f t="shared" si="4"/>
        <v>2.8999999999999998E-2</v>
      </c>
      <c r="T34" s="450">
        <f t="shared" si="5"/>
        <v>1.043472E-2</v>
      </c>
      <c r="U34" s="450">
        <f t="shared" si="6"/>
        <v>2.128203E-2</v>
      </c>
      <c r="V34" s="450">
        <f t="shared" si="7"/>
        <v>1.7927999999999999E-2</v>
      </c>
      <c r="W34" s="450">
        <f t="shared" si="8"/>
        <v>1.711317E-2</v>
      </c>
      <c r="X34" s="450">
        <f t="shared" si="9"/>
        <v>3.2089979999999994E-3</v>
      </c>
      <c r="Y34" s="450">
        <f t="shared" si="10"/>
        <v>1.9689999999999999E-4</v>
      </c>
      <c r="Z34" s="450">
        <f t="shared" si="11"/>
        <v>0.52</v>
      </c>
      <c r="AA34" s="450">
        <f t="shared" si="12"/>
        <v>1.2692699999999999E-2</v>
      </c>
    </row>
    <row r="35" spans="1:27" x14ac:dyDescent="0.2">
      <c r="A35" s="321" t="s">
        <v>753</v>
      </c>
      <c r="B35" s="458">
        <v>65</v>
      </c>
      <c r="C35" s="458">
        <v>1.4</v>
      </c>
      <c r="D35" s="458">
        <v>6.8</v>
      </c>
      <c r="E35" s="458">
        <v>3.5</v>
      </c>
      <c r="F35" s="458">
        <v>16</v>
      </c>
      <c r="G35" s="458">
        <v>60.1</v>
      </c>
      <c r="H35" s="458">
        <v>43.9</v>
      </c>
      <c r="I35" s="458">
        <v>26</v>
      </c>
      <c r="J35" s="458">
        <v>4</v>
      </c>
      <c r="K35" s="458">
        <v>0.4</v>
      </c>
      <c r="L35" s="458">
        <v>1.2</v>
      </c>
      <c r="M35" s="458">
        <v>40</v>
      </c>
      <c r="O35" s="451" t="str">
        <f t="shared" si="13"/>
        <v>Hero Baby 1 NS Comfort</v>
      </c>
      <c r="P35" s="450">
        <f t="shared" si="1"/>
        <v>0.65</v>
      </c>
      <c r="Q35" s="450">
        <f t="shared" si="2"/>
        <v>1.3999999999999999E-2</v>
      </c>
      <c r="R35" s="450">
        <f t="shared" si="3"/>
        <v>6.8000000000000005E-2</v>
      </c>
      <c r="S35" s="450">
        <f t="shared" si="4"/>
        <v>3.5000000000000003E-2</v>
      </c>
      <c r="T35" s="450">
        <f t="shared" si="5"/>
        <v>6.9564800000000001E-3</v>
      </c>
      <c r="U35" s="450">
        <f t="shared" si="6"/>
        <v>1.5410241E-2</v>
      </c>
      <c r="V35" s="450">
        <f t="shared" si="7"/>
        <v>1.0931099999999997E-2</v>
      </c>
      <c r="W35" s="450">
        <f t="shared" si="8"/>
        <v>8.3951400000000006E-3</v>
      </c>
      <c r="X35" s="450">
        <f t="shared" si="9"/>
        <v>1.6456399999999999E-3</v>
      </c>
      <c r="Y35" s="450">
        <f t="shared" si="10"/>
        <v>7.1599999999999992E-5</v>
      </c>
      <c r="Z35" s="450">
        <f t="shared" si="11"/>
        <v>0.48</v>
      </c>
      <c r="AA35" s="450">
        <f t="shared" si="12"/>
        <v>1.12824E-2</v>
      </c>
    </row>
    <row r="36" spans="1:27" x14ac:dyDescent="0.2">
      <c r="A36" s="321" t="s">
        <v>754</v>
      </c>
      <c r="B36" s="458">
        <v>62</v>
      </c>
      <c r="C36" s="458">
        <v>1.3</v>
      </c>
      <c r="D36" s="458">
        <v>6.4</v>
      </c>
      <c r="E36" s="458">
        <v>3.3</v>
      </c>
      <c r="F36" s="458">
        <v>15</v>
      </c>
      <c r="G36" s="458">
        <v>56.8</v>
      </c>
      <c r="H36" s="458">
        <v>41.6</v>
      </c>
      <c r="I36" s="458">
        <v>25</v>
      </c>
      <c r="J36" s="458">
        <v>3.79</v>
      </c>
      <c r="K36" s="458">
        <v>1</v>
      </c>
      <c r="L36" s="458">
        <v>1.1000000000000001</v>
      </c>
      <c r="M36" s="458">
        <v>37.9</v>
      </c>
      <c r="O36" s="451" t="str">
        <f t="shared" si="13"/>
        <v>Hero Baby 2 NS Comfort</v>
      </c>
      <c r="P36" s="450">
        <f t="shared" si="1"/>
        <v>0.62</v>
      </c>
      <c r="Q36" s="450">
        <f t="shared" si="2"/>
        <v>1.3000000000000001E-2</v>
      </c>
      <c r="R36" s="450">
        <f t="shared" si="3"/>
        <v>6.4000000000000001E-2</v>
      </c>
      <c r="S36" s="450">
        <f t="shared" si="4"/>
        <v>3.3000000000000002E-2</v>
      </c>
      <c r="T36" s="450">
        <f t="shared" si="5"/>
        <v>6.5217000000000001E-3</v>
      </c>
      <c r="U36" s="450">
        <f t="shared" si="6"/>
        <v>1.4564087999999999E-2</v>
      </c>
      <c r="V36" s="450">
        <f t="shared" si="7"/>
        <v>1.0358399999999999E-2</v>
      </c>
      <c r="W36" s="450">
        <f t="shared" si="8"/>
        <v>8.0722499999999996E-3</v>
      </c>
      <c r="X36" s="450">
        <f t="shared" si="9"/>
        <v>1.5592439E-3</v>
      </c>
      <c r="Y36" s="450">
        <f t="shared" si="10"/>
        <v>1.7899999999999999E-4</v>
      </c>
      <c r="Z36" s="450">
        <f t="shared" si="11"/>
        <v>0.44</v>
      </c>
      <c r="AA36" s="450">
        <f t="shared" si="12"/>
        <v>1.0690073999999999E-2</v>
      </c>
    </row>
    <row r="37" spans="1:27" x14ac:dyDescent="0.2">
      <c r="A37" s="321" t="s">
        <v>821</v>
      </c>
      <c r="B37" s="458">
        <v>66</v>
      </c>
      <c r="C37" s="458">
        <v>2</v>
      </c>
      <c r="D37" s="458">
        <v>6.6</v>
      </c>
      <c r="E37" s="458">
        <v>3.5</v>
      </c>
      <c r="F37" s="458">
        <v>22</v>
      </c>
      <c r="G37" s="458">
        <v>69.3</v>
      </c>
      <c r="H37" s="458">
        <v>66.3</v>
      </c>
      <c r="I37" s="458">
        <v>39</v>
      </c>
      <c r="J37" s="458">
        <v>6.58</v>
      </c>
      <c r="K37" s="458">
        <v>0.87</v>
      </c>
      <c r="L37" s="458">
        <v>1.3</v>
      </c>
      <c r="M37" s="458">
        <v>45.2</v>
      </c>
      <c r="O37" s="451" t="str">
        <f t="shared" si="13"/>
        <v>Hero Baby 1 NS Prematuur</v>
      </c>
      <c r="P37" s="450">
        <f t="shared" si="1"/>
        <v>0.66</v>
      </c>
      <c r="Q37" s="450">
        <f t="shared" si="2"/>
        <v>0.02</v>
      </c>
      <c r="R37" s="450">
        <f t="shared" si="3"/>
        <v>6.6000000000000003E-2</v>
      </c>
      <c r="S37" s="450">
        <f t="shared" si="4"/>
        <v>3.5000000000000003E-2</v>
      </c>
      <c r="T37" s="450">
        <f t="shared" si="5"/>
        <v>9.5651599999999996E-3</v>
      </c>
      <c r="U37" s="450">
        <f t="shared" si="6"/>
        <v>1.7769212999999999E-2</v>
      </c>
      <c r="V37" s="450">
        <f t="shared" si="7"/>
        <v>1.6508699999999998E-2</v>
      </c>
      <c r="W37" s="450">
        <f t="shared" si="8"/>
        <v>1.259271E-2</v>
      </c>
      <c r="X37" s="450">
        <f t="shared" si="9"/>
        <v>2.7070778000000003E-3</v>
      </c>
      <c r="Y37" s="450">
        <f t="shared" si="10"/>
        <v>1.5573E-4</v>
      </c>
      <c r="Z37" s="450">
        <f t="shared" si="11"/>
        <v>0.52</v>
      </c>
      <c r="AA37" s="450">
        <f t="shared" si="12"/>
        <v>1.2749112E-2</v>
      </c>
    </row>
    <row r="38" spans="1:27" x14ac:dyDescent="0.2">
      <c r="A38" s="321" t="s">
        <v>822</v>
      </c>
      <c r="B38" s="458">
        <v>79</v>
      </c>
      <c r="C38" s="458">
        <v>2.6</v>
      </c>
      <c r="D38" s="458">
        <v>8.3000000000000007</v>
      </c>
      <c r="E38" s="458">
        <v>4</v>
      </c>
      <c r="F38" s="458">
        <v>51</v>
      </c>
      <c r="G38" s="458">
        <v>88</v>
      </c>
      <c r="H38" s="458">
        <v>96</v>
      </c>
      <c r="I38" s="458">
        <v>54.4</v>
      </c>
      <c r="J38" s="458">
        <v>8.9</v>
      </c>
      <c r="K38" s="458">
        <v>1.8</v>
      </c>
      <c r="L38" s="458">
        <v>1.9</v>
      </c>
      <c r="M38" s="458">
        <v>76.8</v>
      </c>
      <c r="O38" s="451" t="str">
        <f t="shared" si="13"/>
        <v>Hero Baby Prematuur Start</v>
      </c>
      <c r="P38" s="450">
        <f t="shared" si="1"/>
        <v>0.79</v>
      </c>
      <c r="Q38" s="450">
        <f t="shared" si="2"/>
        <v>2.6000000000000002E-2</v>
      </c>
      <c r="R38" s="450">
        <f t="shared" si="3"/>
        <v>8.3000000000000004E-2</v>
      </c>
      <c r="S38" s="450">
        <f t="shared" si="4"/>
        <v>0.04</v>
      </c>
      <c r="T38" s="450">
        <f t="shared" si="5"/>
        <v>2.2173780000000001E-2</v>
      </c>
      <c r="U38" s="450">
        <f t="shared" si="6"/>
        <v>2.256408E-2</v>
      </c>
      <c r="V38" s="450">
        <f t="shared" si="7"/>
        <v>2.3903999999999995E-2</v>
      </c>
      <c r="W38" s="450">
        <f t="shared" si="8"/>
        <v>1.7565215999999998E-2</v>
      </c>
      <c r="X38" s="450">
        <f t="shared" si="9"/>
        <v>3.6615490000000001E-3</v>
      </c>
      <c r="Y38" s="450">
        <f t="shared" si="10"/>
        <v>3.2219999999999997E-4</v>
      </c>
      <c r="Z38" s="450">
        <f t="shared" si="11"/>
        <v>0.76</v>
      </c>
      <c r="AA38" s="450">
        <f t="shared" si="12"/>
        <v>2.1662207999999995E-2</v>
      </c>
    </row>
    <row r="39" spans="1:27" x14ac:dyDescent="0.2">
      <c r="A39" s="451" t="s">
        <v>4100</v>
      </c>
      <c r="B39" s="450">
        <v>0</v>
      </c>
      <c r="C39" s="450">
        <v>0</v>
      </c>
      <c r="D39" s="450">
        <v>0</v>
      </c>
      <c r="E39" s="450">
        <v>0</v>
      </c>
      <c r="F39" s="450">
        <v>0</v>
      </c>
      <c r="G39" s="450">
        <v>0</v>
      </c>
      <c r="H39" s="450">
        <v>0</v>
      </c>
      <c r="I39" s="450">
        <v>0</v>
      </c>
      <c r="J39" s="450">
        <v>0</v>
      </c>
      <c r="K39" s="450">
        <v>0</v>
      </c>
      <c r="L39" s="450">
        <v>0</v>
      </c>
      <c r="M39" s="450">
        <v>0</v>
      </c>
      <c r="O39" s="451" t="str">
        <f t="shared" si="13"/>
        <v>Speciale Voeding</v>
      </c>
      <c r="P39" s="450">
        <f t="shared" ref="P39" si="14">VLOOKUP(P$3,Tbl_Glob_Conversie,2,FALSE)*B39/100</f>
        <v>0</v>
      </c>
      <c r="Q39" s="450">
        <f t="shared" ref="Q39" si="15">VLOOKUP(Q$3,Tbl_Glob_Conversie,2,FALSE)*C39/100</f>
        <v>0</v>
      </c>
      <c r="R39" s="450">
        <f t="shared" ref="R39" si="16">VLOOKUP(R$3,Tbl_Glob_Conversie,2,FALSE)*D39/100</f>
        <v>0</v>
      </c>
      <c r="S39" s="450">
        <f t="shared" ref="S39" si="17">VLOOKUP(S$3,Tbl_Glob_Conversie,2,FALSE)*E39/100</f>
        <v>0</v>
      </c>
      <c r="T39" s="450">
        <f t="shared" ref="T39" si="18">VLOOKUP(T$3,Tbl_Glob_Conversie,2,FALSE)*F39/100</f>
        <v>0</v>
      </c>
      <c r="U39" s="450">
        <f t="shared" ref="U39" si="19">VLOOKUP(U$3,Tbl_Glob_Conversie,2,FALSE)*G39/100</f>
        <v>0</v>
      </c>
      <c r="V39" s="450">
        <f t="shared" ref="V39" si="20">VLOOKUP(V$3,Tbl_Glob_Conversie,2,FALSE)*H39/100</f>
        <v>0</v>
      </c>
      <c r="W39" s="450">
        <f t="shared" ref="W39" si="21">VLOOKUP(W$3,Tbl_Glob_Conversie,2,FALSE)*I39/100</f>
        <v>0</v>
      </c>
      <c r="X39" s="450">
        <f t="shared" ref="X39" si="22">VLOOKUP(X$3,Tbl_Glob_Conversie,2,FALSE)*J39/100</f>
        <v>0</v>
      </c>
      <c r="Y39" s="450">
        <f t="shared" ref="Y39" si="23">VLOOKUP(Y$3,Tbl_Glob_Conversie,2,FALSE)*K39/100</f>
        <v>0</v>
      </c>
      <c r="Z39" s="450">
        <f t="shared" ref="Z39" si="24">VLOOKUP(Z$3,Tbl_Glob_Conversie,2,FALSE)*L39/100</f>
        <v>0</v>
      </c>
      <c r="AA39" s="450">
        <f t="shared" ref="AA39" si="25">VLOOKUP(AA$3,Tbl_Glob_Conversie,2,FALSE)*M39/100</f>
        <v>0</v>
      </c>
    </row>
    <row r="40" spans="1:27" x14ac:dyDescent="0.2">
      <c r="A40" s="451"/>
      <c r="R40" s="451"/>
    </row>
    <row r="41" spans="1:27" x14ac:dyDescent="0.2">
      <c r="A41" s="451"/>
    </row>
    <row r="42" spans="1:27" x14ac:dyDescent="0.2">
      <c r="A42" s="451"/>
    </row>
    <row r="43" spans="1:27" x14ac:dyDescent="0.2">
      <c r="A43" s="449" t="s">
        <v>4775</v>
      </c>
      <c r="B43" s="555" t="s">
        <v>4102</v>
      </c>
      <c r="O43" s="449" t="s">
        <v>4087</v>
      </c>
      <c r="P43" s="555" t="s">
        <v>4777</v>
      </c>
    </row>
    <row r="44" spans="1:27" x14ac:dyDescent="0.2">
      <c r="C44" s="451" t="s">
        <v>29</v>
      </c>
      <c r="D44" s="451" t="s">
        <v>29</v>
      </c>
      <c r="E44" s="451" t="s">
        <v>29</v>
      </c>
      <c r="F44" s="451" t="s">
        <v>121</v>
      </c>
      <c r="G44" s="451" t="s">
        <v>121</v>
      </c>
      <c r="H44" s="451" t="s">
        <v>121</v>
      </c>
      <c r="I44" s="451" t="s">
        <v>121</v>
      </c>
      <c r="J44" s="451" t="s">
        <v>121</v>
      </c>
      <c r="K44" s="451" t="s">
        <v>121</v>
      </c>
      <c r="L44" s="451" t="s">
        <v>743</v>
      </c>
      <c r="M44" s="451" t="s">
        <v>121</v>
      </c>
      <c r="N44" s="451"/>
      <c r="O44" s="452"/>
      <c r="P44" s="451">
        <v>2</v>
      </c>
      <c r="Q44" s="451">
        <v>3</v>
      </c>
      <c r="R44" s="451">
        <v>4</v>
      </c>
      <c r="S44" s="451">
        <v>5</v>
      </c>
      <c r="T44" s="451">
        <v>6</v>
      </c>
      <c r="U44" s="451">
        <v>7</v>
      </c>
      <c r="V44" s="451">
        <v>8</v>
      </c>
      <c r="W44" s="451">
        <v>9</v>
      </c>
      <c r="X44" s="451">
        <v>10</v>
      </c>
      <c r="Y44" s="451">
        <v>11</v>
      </c>
      <c r="Z44" s="451">
        <v>12</v>
      </c>
      <c r="AA44" s="451">
        <v>13</v>
      </c>
    </row>
    <row r="45" spans="1:27" x14ac:dyDescent="0.2">
      <c r="A45" s="451"/>
      <c r="B45" s="451" t="s">
        <v>178</v>
      </c>
      <c r="C45" s="451" t="s">
        <v>172</v>
      </c>
      <c r="D45" s="451" t="s">
        <v>422</v>
      </c>
      <c r="E45" s="451" t="s">
        <v>423</v>
      </c>
      <c r="F45" s="451" t="s">
        <v>173</v>
      </c>
      <c r="G45" s="451" t="s">
        <v>174</v>
      </c>
      <c r="H45" s="451" t="s">
        <v>175</v>
      </c>
      <c r="I45" s="451" t="s">
        <v>421</v>
      </c>
      <c r="J45" s="451" t="s">
        <v>176</v>
      </c>
      <c r="K45" s="451" t="s">
        <v>741</v>
      </c>
      <c r="L45" s="451" t="s">
        <v>742</v>
      </c>
      <c r="M45" s="451" t="s">
        <v>466</v>
      </c>
      <c r="N45" s="451"/>
      <c r="O45" s="451"/>
      <c r="P45" s="451" t="s">
        <v>178</v>
      </c>
      <c r="Q45" s="451" t="s">
        <v>147</v>
      </c>
      <c r="R45" s="451" t="s">
        <v>179</v>
      </c>
      <c r="S45" s="451" t="s">
        <v>148</v>
      </c>
      <c r="T45" s="451" t="s">
        <v>173</v>
      </c>
      <c r="U45" s="451" t="s">
        <v>174</v>
      </c>
      <c r="V45" s="451" t="s">
        <v>175</v>
      </c>
      <c r="W45" s="451" t="s">
        <v>180</v>
      </c>
      <c r="X45" s="451" t="s">
        <v>176</v>
      </c>
      <c r="Y45" s="451" t="s">
        <v>741</v>
      </c>
      <c r="Z45" s="451" t="s">
        <v>742</v>
      </c>
      <c r="AA45" s="451" t="s">
        <v>466</v>
      </c>
    </row>
    <row r="46" spans="1:27" x14ac:dyDescent="0.2">
      <c r="A46" s="451"/>
      <c r="B46" s="451" t="s">
        <v>178</v>
      </c>
      <c r="C46" s="451" t="s">
        <v>147</v>
      </c>
      <c r="D46" s="451" t="s">
        <v>179</v>
      </c>
      <c r="E46" s="451" t="s">
        <v>148</v>
      </c>
      <c r="F46" s="451" t="s">
        <v>173</v>
      </c>
      <c r="G46" s="451" t="s">
        <v>174</v>
      </c>
      <c r="H46" s="451" t="s">
        <v>175</v>
      </c>
      <c r="I46" s="451" t="s">
        <v>180</v>
      </c>
      <c r="J46" s="451" t="s">
        <v>176</v>
      </c>
      <c r="K46" s="451" t="s">
        <v>741</v>
      </c>
      <c r="L46" s="451" t="s">
        <v>742</v>
      </c>
      <c r="M46" s="451" t="s">
        <v>466</v>
      </c>
      <c r="N46" s="451"/>
      <c r="O46" s="451"/>
      <c r="P46" s="450" t="str">
        <f t="shared" ref="P46:AA46" si="26">VLOOKUP(P45,Tbl_Glob_Conversie,3,FALSE)</f>
        <v>kcal</v>
      </c>
      <c r="Q46" s="450" t="str">
        <f t="shared" si="26"/>
        <v>gram</v>
      </c>
      <c r="R46" s="450" t="str">
        <f t="shared" si="26"/>
        <v>gram</v>
      </c>
      <c r="S46" s="450" t="str">
        <f t="shared" si="26"/>
        <v>gram</v>
      </c>
      <c r="T46" s="450" t="str">
        <f t="shared" si="26"/>
        <v>mmol</v>
      </c>
      <c r="U46" s="450" t="str">
        <f t="shared" si="26"/>
        <v>mmol</v>
      </c>
      <c r="V46" s="450" t="str">
        <f t="shared" si="26"/>
        <v>mmol</v>
      </c>
      <c r="W46" s="450" t="str">
        <f t="shared" si="26"/>
        <v>mmol</v>
      </c>
      <c r="X46" s="450" t="str">
        <f t="shared" si="26"/>
        <v>mmol</v>
      </c>
      <c r="Y46" s="450" t="str">
        <f t="shared" si="26"/>
        <v>mmol</v>
      </c>
      <c r="Z46" s="450" t="str">
        <f t="shared" si="26"/>
        <v>IE</v>
      </c>
      <c r="AA46" s="450" t="str">
        <f t="shared" si="26"/>
        <v>mmol</v>
      </c>
    </row>
    <row r="47" spans="1:27" x14ac:dyDescent="0.2">
      <c r="A47" s="451"/>
    </row>
    <row r="48" spans="1:27" x14ac:dyDescent="0.2">
      <c r="A48" s="321" t="s">
        <v>472</v>
      </c>
      <c r="B48" s="321">
        <v>347</v>
      </c>
      <c r="C48" s="321">
        <v>25.2</v>
      </c>
      <c r="D48" s="453">
        <v>62.2</v>
      </c>
      <c r="E48" s="453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53">
        <v>0</v>
      </c>
      <c r="L48" s="321">
        <v>115</v>
      </c>
      <c r="M48" s="321">
        <v>573</v>
      </c>
      <c r="N48" s="451"/>
      <c r="O48" s="451" t="str">
        <f>A48</f>
        <v>Nutrilon Nenatal BMF</v>
      </c>
      <c r="P48" s="450">
        <f t="shared" ref="P48:P70" si="27">VLOOKUP(P$45,Tbl_Glob_Conversie,2,FALSE)*B48/100</f>
        <v>3.47</v>
      </c>
      <c r="Q48" s="450">
        <f t="shared" ref="Q48:Q70" si="28">VLOOKUP(Q$45,Tbl_Glob_Conversie,2,FALSE)*C48/100</f>
        <v>0.252</v>
      </c>
      <c r="R48" s="450">
        <f t="shared" ref="R48:R70" si="29">VLOOKUP(R$45,Tbl_Glob_Conversie,2,FALSE)*D48/100</f>
        <v>0.622</v>
      </c>
      <c r="S48" s="450">
        <f t="shared" ref="S48:S70" si="30">VLOOKUP(S$45,Tbl_Glob_Conversie,2,FALSE)*E48/100</f>
        <v>0</v>
      </c>
      <c r="T48" s="450">
        <f t="shared" ref="T48:T70" si="31">VLOOKUP(T$45,Tbl_Glob_Conversie,2,FALSE)*F48/100</f>
        <v>0.34912834000000004</v>
      </c>
      <c r="U48" s="450">
        <f t="shared" ref="U48:U70" si="32">VLOOKUP(U$45,Tbl_Glob_Conversie,2,FALSE)*G48/100</f>
        <v>0.13538448</v>
      </c>
      <c r="V48" s="450">
        <f t="shared" ref="V48:V70" si="33">VLOOKUP(V$45,Tbl_Glob_Conversie,2,FALSE)*H48/100</f>
        <v>0.37125899999999995</v>
      </c>
      <c r="W48" s="450">
        <f t="shared" ref="W48:W70" si="34">VLOOKUP(W$45,Tbl_Glob_Conversie,2,FALSE)*I48/100</f>
        <v>0.28156007999999999</v>
      </c>
      <c r="X48" s="450">
        <f t="shared" ref="X48:X70" si="35">VLOOKUP(X$45,Tbl_Glob_Conversie,2,FALSE)*J48/100</f>
        <v>4.7312149999999997E-2</v>
      </c>
      <c r="Y48" s="450">
        <f t="shared" ref="Y48:Y70" si="36">VLOOKUP(Y$45,Tbl_Glob_Conversie,2,FALSE)*K48/100</f>
        <v>0</v>
      </c>
      <c r="Z48" s="450">
        <f t="shared" ref="Z48:Z70" si="37">VLOOKUP(Z$45,Tbl_Glob_Conversie,2,FALSE)*L48/100</f>
        <v>46</v>
      </c>
      <c r="AA48" s="450">
        <f t="shared" ref="AA48:AA70" si="38">VLOOKUP(AA$45,Tbl_Glob_Conversie,2,FALSE)*M48/100</f>
        <v>0.16162037999999998</v>
      </c>
    </row>
    <row r="49" spans="1:27" x14ac:dyDescent="0.2">
      <c r="A49" s="321" t="s">
        <v>751</v>
      </c>
      <c r="B49" s="321">
        <v>509</v>
      </c>
      <c r="C49" s="321">
        <v>10</v>
      </c>
      <c r="D49" s="453">
        <v>56</v>
      </c>
      <c r="E49" s="453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55">
        <v>3.1</v>
      </c>
      <c r="L49" s="454">
        <v>9.1999999999999993</v>
      </c>
      <c r="M49" s="454">
        <v>308</v>
      </c>
      <c r="N49" s="459"/>
      <c r="O49" s="451" t="str">
        <f t="shared" ref="O49:O70" si="39">A49</f>
        <v>Hero Baby 1 NS Standaard</v>
      </c>
      <c r="P49" s="450">
        <f t="shared" si="27"/>
        <v>5.09</v>
      </c>
      <c r="Q49" s="450">
        <f t="shared" si="28"/>
        <v>0.1</v>
      </c>
      <c r="R49" s="450">
        <f t="shared" si="29"/>
        <v>0.56000000000000005</v>
      </c>
      <c r="S49" s="450">
        <f t="shared" si="30"/>
        <v>0.27</v>
      </c>
      <c r="T49" s="450">
        <f t="shared" si="31"/>
        <v>5.2173600000000001E-2</v>
      </c>
      <c r="U49" s="450">
        <f t="shared" si="32"/>
        <v>0.11846142</v>
      </c>
      <c r="V49" s="450">
        <f t="shared" si="33"/>
        <v>8.4162000000000001E-2</v>
      </c>
      <c r="W49" s="450">
        <f t="shared" si="34"/>
        <v>6.4577999999999997E-2</v>
      </c>
      <c r="X49" s="450">
        <f t="shared" si="35"/>
        <v>1.2671428E-2</v>
      </c>
      <c r="Y49" s="450">
        <f t="shared" si="36"/>
        <v>5.5489999999999999E-4</v>
      </c>
      <c r="Z49" s="450">
        <f t="shared" si="37"/>
        <v>3.68</v>
      </c>
      <c r="AA49" s="450">
        <f t="shared" si="38"/>
        <v>8.6874480000000004E-2</v>
      </c>
    </row>
    <row r="50" spans="1:27" x14ac:dyDescent="0.2">
      <c r="A50" s="321" t="s">
        <v>752</v>
      </c>
      <c r="B50" s="321">
        <v>470</v>
      </c>
      <c r="C50" s="321">
        <v>9.5</v>
      </c>
      <c r="D50" s="453">
        <v>64</v>
      </c>
      <c r="E50" s="453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55">
        <v>8.1999999999999993</v>
      </c>
      <c r="L50" s="454">
        <v>8.6</v>
      </c>
      <c r="M50" s="454">
        <v>297</v>
      </c>
      <c r="N50" s="459"/>
      <c r="O50" s="451" t="str">
        <f t="shared" si="39"/>
        <v>Hero Baby 2 NS Standaard</v>
      </c>
      <c r="P50" s="450">
        <f t="shared" si="27"/>
        <v>4.7</v>
      </c>
      <c r="Q50" s="450">
        <f t="shared" si="28"/>
        <v>9.5000000000000001E-2</v>
      </c>
      <c r="R50" s="450">
        <f t="shared" si="29"/>
        <v>0.64</v>
      </c>
      <c r="S50" s="450">
        <f t="shared" si="30"/>
        <v>0.19</v>
      </c>
      <c r="T50" s="450">
        <f t="shared" si="31"/>
        <v>6.956480000000001E-2</v>
      </c>
      <c r="U50" s="450">
        <f t="shared" si="32"/>
        <v>0.14205113999999999</v>
      </c>
      <c r="V50" s="450">
        <f t="shared" si="33"/>
        <v>0.100845</v>
      </c>
      <c r="W50" s="450">
        <f t="shared" si="34"/>
        <v>7.8462270000000001E-2</v>
      </c>
      <c r="X50" s="450">
        <f t="shared" si="35"/>
        <v>2.139332E-2</v>
      </c>
      <c r="Y50" s="450">
        <f t="shared" si="36"/>
        <v>1.4678E-3</v>
      </c>
      <c r="Z50" s="450">
        <f t="shared" si="37"/>
        <v>3.44</v>
      </c>
      <c r="AA50" s="450">
        <f t="shared" si="38"/>
        <v>8.3771819999999997E-2</v>
      </c>
    </row>
    <row r="51" spans="1:27" x14ac:dyDescent="0.2">
      <c r="A51" s="321" t="s">
        <v>753</v>
      </c>
      <c r="B51" s="321">
        <v>503</v>
      </c>
      <c r="C51" s="321">
        <v>11</v>
      </c>
      <c r="D51" s="453">
        <v>52</v>
      </c>
      <c r="E51" s="453">
        <v>27</v>
      </c>
      <c r="F51" s="321">
        <v>120</v>
      </c>
      <c r="G51" s="321">
        <v>462</v>
      </c>
      <c r="H51" s="321">
        <v>338</v>
      </c>
      <c r="I51" s="321">
        <v>200</v>
      </c>
      <c r="J51" s="460">
        <v>30.8</v>
      </c>
      <c r="K51" s="461">
        <v>3.1</v>
      </c>
      <c r="L51" s="462">
        <v>9.1999999999999993</v>
      </c>
      <c r="M51" s="462">
        <v>308</v>
      </c>
      <c r="N51" s="463"/>
      <c r="O51" s="451" t="str">
        <f t="shared" si="39"/>
        <v>Hero Baby 1 NS Comfort</v>
      </c>
      <c r="P51" s="450">
        <f t="shared" si="27"/>
        <v>5.03</v>
      </c>
      <c r="Q51" s="450">
        <f t="shared" si="28"/>
        <v>0.11</v>
      </c>
      <c r="R51" s="450">
        <f t="shared" si="29"/>
        <v>0.52</v>
      </c>
      <c r="S51" s="450">
        <f t="shared" si="30"/>
        <v>0.27</v>
      </c>
      <c r="T51" s="450">
        <f t="shared" si="31"/>
        <v>5.2173600000000001E-2</v>
      </c>
      <c r="U51" s="450">
        <f t="shared" si="32"/>
        <v>0.11846142</v>
      </c>
      <c r="V51" s="450">
        <f t="shared" si="33"/>
        <v>8.4162000000000001E-2</v>
      </c>
      <c r="W51" s="450">
        <f t="shared" si="34"/>
        <v>6.4577999999999997E-2</v>
      </c>
      <c r="X51" s="450">
        <f t="shared" si="35"/>
        <v>1.2671428E-2</v>
      </c>
      <c r="Y51" s="450">
        <f t="shared" si="36"/>
        <v>5.5489999999999999E-4</v>
      </c>
      <c r="Z51" s="450">
        <f t="shared" si="37"/>
        <v>3.68</v>
      </c>
      <c r="AA51" s="450">
        <f t="shared" si="38"/>
        <v>8.6874480000000004E-2</v>
      </c>
    </row>
    <row r="52" spans="1:27" x14ac:dyDescent="0.2">
      <c r="A52" s="321" t="s">
        <v>754</v>
      </c>
      <c r="B52" s="321">
        <v>503</v>
      </c>
      <c r="C52" s="321">
        <v>11</v>
      </c>
      <c r="D52" s="453">
        <v>52</v>
      </c>
      <c r="E52" s="453">
        <v>27</v>
      </c>
      <c r="F52" s="321">
        <v>120</v>
      </c>
      <c r="G52" s="321">
        <v>462</v>
      </c>
      <c r="H52" s="321">
        <v>338</v>
      </c>
      <c r="I52" s="321">
        <v>200</v>
      </c>
      <c r="J52" s="460">
        <v>30.8</v>
      </c>
      <c r="K52" s="461">
        <v>8.5</v>
      </c>
      <c r="L52" s="462">
        <v>9.1999999999999993</v>
      </c>
      <c r="M52" s="462">
        <v>308</v>
      </c>
      <c r="N52" s="463"/>
      <c r="O52" s="451" t="str">
        <f t="shared" si="39"/>
        <v>Hero Baby 2 NS Comfort</v>
      </c>
      <c r="P52" s="450">
        <f t="shared" si="27"/>
        <v>5.03</v>
      </c>
      <c r="Q52" s="450">
        <f t="shared" si="28"/>
        <v>0.11</v>
      </c>
      <c r="R52" s="450">
        <f t="shared" si="29"/>
        <v>0.52</v>
      </c>
      <c r="S52" s="450">
        <f t="shared" si="30"/>
        <v>0.27</v>
      </c>
      <c r="T52" s="450">
        <f t="shared" si="31"/>
        <v>5.2173600000000001E-2</v>
      </c>
      <c r="U52" s="450">
        <f t="shared" si="32"/>
        <v>0.11846142</v>
      </c>
      <c r="V52" s="450">
        <f t="shared" si="33"/>
        <v>8.4162000000000001E-2</v>
      </c>
      <c r="W52" s="450">
        <f t="shared" si="34"/>
        <v>6.4577999999999997E-2</v>
      </c>
      <c r="X52" s="450">
        <f t="shared" si="35"/>
        <v>1.2671428E-2</v>
      </c>
      <c r="Y52" s="450">
        <f t="shared" si="36"/>
        <v>1.5215000000000001E-3</v>
      </c>
      <c r="Z52" s="450">
        <f t="shared" si="37"/>
        <v>3.68</v>
      </c>
      <c r="AA52" s="450">
        <f t="shared" si="38"/>
        <v>8.6874480000000004E-2</v>
      </c>
    </row>
    <row r="53" spans="1:27" x14ac:dyDescent="0.2">
      <c r="A53" s="321" t="s">
        <v>755</v>
      </c>
      <c r="B53" s="321">
        <v>493</v>
      </c>
      <c r="C53" s="321">
        <v>13</v>
      </c>
      <c r="D53" s="453">
        <v>53</v>
      </c>
      <c r="E53" s="453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61">
        <v>3.5</v>
      </c>
      <c r="L53" s="462">
        <v>7.8</v>
      </c>
      <c r="M53" s="462">
        <v>315</v>
      </c>
      <c r="N53" s="463"/>
      <c r="O53" s="451" t="str">
        <f t="shared" si="39"/>
        <v>Hero Baby 1 NS Pep</v>
      </c>
      <c r="P53" s="450">
        <f t="shared" si="27"/>
        <v>4.93</v>
      </c>
      <c r="Q53" s="450">
        <f t="shared" si="28"/>
        <v>0.13</v>
      </c>
      <c r="R53" s="450">
        <f t="shared" si="29"/>
        <v>0.53</v>
      </c>
      <c r="S53" s="450">
        <f t="shared" si="30"/>
        <v>0.26</v>
      </c>
      <c r="T53" s="450">
        <f t="shared" si="31"/>
        <v>8.8695120000000002E-2</v>
      </c>
      <c r="U53" s="450">
        <f t="shared" si="32"/>
        <v>0.1410255</v>
      </c>
      <c r="V53" s="450">
        <f t="shared" si="33"/>
        <v>9.9599999999999994E-2</v>
      </c>
      <c r="W53" s="450">
        <f t="shared" si="34"/>
        <v>7.4264699999999989E-2</v>
      </c>
      <c r="X53" s="450">
        <f t="shared" si="35"/>
        <v>2.0570499999999999E-2</v>
      </c>
      <c r="Y53" s="450">
        <f t="shared" si="36"/>
        <v>6.265E-4</v>
      </c>
      <c r="Z53" s="450">
        <f t="shared" si="37"/>
        <v>3.12</v>
      </c>
      <c r="AA53" s="450">
        <f t="shared" si="38"/>
        <v>8.8848899999999981E-2</v>
      </c>
    </row>
    <row r="54" spans="1:27" x14ac:dyDescent="0.2">
      <c r="A54" s="321" t="s">
        <v>756</v>
      </c>
      <c r="B54" s="321">
        <v>493</v>
      </c>
      <c r="C54" s="321">
        <v>13</v>
      </c>
      <c r="D54" s="453">
        <v>53</v>
      </c>
      <c r="E54" s="453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61">
        <v>7.1</v>
      </c>
      <c r="L54" s="462">
        <v>7.8</v>
      </c>
      <c r="M54" s="462">
        <v>315</v>
      </c>
      <c r="N54" s="463"/>
      <c r="O54" s="451" t="str">
        <f t="shared" si="39"/>
        <v>Hero Baby 2 NS Pep</v>
      </c>
      <c r="P54" s="450">
        <f t="shared" si="27"/>
        <v>4.93</v>
      </c>
      <c r="Q54" s="450">
        <f t="shared" si="28"/>
        <v>0.13</v>
      </c>
      <c r="R54" s="450">
        <f t="shared" si="29"/>
        <v>0.53</v>
      </c>
      <c r="S54" s="450">
        <f t="shared" si="30"/>
        <v>0.26</v>
      </c>
      <c r="T54" s="450">
        <f t="shared" si="31"/>
        <v>8.8695120000000002E-2</v>
      </c>
      <c r="U54" s="450">
        <f t="shared" si="32"/>
        <v>0.1410255</v>
      </c>
      <c r="V54" s="450">
        <f t="shared" si="33"/>
        <v>9.9599999999999994E-2</v>
      </c>
      <c r="W54" s="450">
        <f t="shared" si="34"/>
        <v>7.4264699999999989E-2</v>
      </c>
      <c r="X54" s="450">
        <f t="shared" si="35"/>
        <v>2.0570499999999999E-2</v>
      </c>
      <c r="Y54" s="450">
        <f t="shared" si="36"/>
        <v>1.2708999999999997E-3</v>
      </c>
      <c r="Z54" s="450">
        <f t="shared" si="37"/>
        <v>3.12</v>
      </c>
      <c r="AA54" s="450">
        <f t="shared" si="38"/>
        <v>8.8848899999999981E-2</v>
      </c>
    </row>
    <row r="55" spans="1:27" x14ac:dyDescent="0.2">
      <c r="A55" s="321" t="s">
        <v>757</v>
      </c>
      <c r="B55" s="321">
        <v>500</v>
      </c>
      <c r="C55" s="321">
        <v>14</v>
      </c>
      <c r="D55" s="453">
        <v>55</v>
      </c>
      <c r="E55" s="453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55">
        <v>9</v>
      </c>
      <c r="L55" s="454">
        <v>7.5</v>
      </c>
      <c r="M55" s="454">
        <v>480</v>
      </c>
      <c r="N55" s="459"/>
      <c r="O55" s="451" t="str">
        <f t="shared" si="39"/>
        <v>Nutramigen 1 LGG pdr</v>
      </c>
      <c r="P55" s="450">
        <f t="shared" si="27"/>
        <v>5</v>
      </c>
      <c r="Q55" s="450">
        <f t="shared" si="28"/>
        <v>0.14000000000000001</v>
      </c>
      <c r="R55" s="450">
        <f t="shared" si="29"/>
        <v>0.55000000000000004</v>
      </c>
      <c r="S55" s="450">
        <f t="shared" si="30"/>
        <v>0.25</v>
      </c>
      <c r="T55" s="450">
        <f t="shared" si="31"/>
        <v>0.1043472</v>
      </c>
      <c r="U55" s="450">
        <f t="shared" si="32"/>
        <v>0.1564101</v>
      </c>
      <c r="V55" s="450">
        <f t="shared" si="33"/>
        <v>0.14068499999999998</v>
      </c>
      <c r="W55" s="450">
        <f t="shared" si="34"/>
        <v>0.12592709999999999</v>
      </c>
      <c r="X55" s="450">
        <f t="shared" si="35"/>
        <v>2.0570499999999999E-2</v>
      </c>
      <c r="Y55" s="450">
        <f t="shared" si="36"/>
        <v>1.611E-3</v>
      </c>
      <c r="Z55" s="450">
        <f t="shared" si="37"/>
        <v>3</v>
      </c>
      <c r="AA55" s="450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53">
        <v>59</v>
      </c>
      <c r="E56" s="453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55">
        <v>8.1999999999999993</v>
      </c>
      <c r="L56" s="454">
        <v>7.3</v>
      </c>
      <c r="M56" s="454">
        <v>373</v>
      </c>
      <c r="N56" s="459"/>
      <c r="O56" s="451" t="str">
        <f t="shared" si="39"/>
        <v>Nutramigen 2 LGG pdr</v>
      </c>
      <c r="P56" s="450">
        <f t="shared" si="27"/>
        <v>4.66</v>
      </c>
      <c r="Q56" s="450">
        <f t="shared" si="28"/>
        <v>0.11599999999999999</v>
      </c>
      <c r="R56" s="450">
        <f t="shared" si="29"/>
        <v>0.59</v>
      </c>
      <c r="S56" s="450">
        <f t="shared" si="30"/>
        <v>0.2</v>
      </c>
      <c r="T56" s="450">
        <f t="shared" si="31"/>
        <v>7.478216E-2</v>
      </c>
      <c r="U56" s="450">
        <f t="shared" si="32"/>
        <v>0.14564088</v>
      </c>
      <c r="V56" s="450">
        <f t="shared" si="33"/>
        <v>0.15886199999999998</v>
      </c>
      <c r="W56" s="450">
        <f t="shared" si="34"/>
        <v>0.10849103999999998</v>
      </c>
      <c r="X56" s="450">
        <f t="shared" si="35"/>
        <v>1.9336269999999999E-2</v>
      </c>
      <c r="Y56" s="450">
        <f t="shared" si="36"/>
        <v>1.4678E-3</v>
      </c>
      <c r="Z56" s="450">
        <f t="shared" si="37"/>
        <v>2.92</v>
      </c>
      <c r="AA56" s="450">
        <f t="shared" si="38"/>
        <v>0.10520837999999999</v>
      </c>
    </row>
    <row r="57" spans="1:27" x14ac:dyDescent="0.2">
      <c r="A57" s="321" t="s">
        <v>758</v>
      </c>
      <c r="B57" s="321">
        <v>402</v>
      </c>
      <c r="C57" s="321">
        <v>14.7</v>
      </c>
      <c r="D57" s="453">
        <v>71</v>
      </c>
      <c r="E57" s="453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55">
        <v>6.4</v>
      </c>
      <c r="L57" s="454">
        <v>2.8</v>
      </c>
      <c r="M57" s="454">
        <v>503</v>
      </c>
      <c r="N57" s="459"/>
      <c r="O57" s="451" t="str">
        <f t="shared" si="39"/>
        <v>Nutrison Advanced Peptisorb Powder</v>
      </c>
      <c r="P57" s="450">
        <f t="shared" si="27"/>
        <v>4.0199999999999996</v>
      </c>
      <c r="Q57" s="450">
        <f t="shared" si="28"/>
        <v>0.14699999999999999</v>
      </c>
      <c r="R57" s="450">
        <f t="shared" si="29"/>
        <v>0.71</v>
      </c>
      <c r="S57" s="450">
        <f t="shared" si="30"/>
        <v>6.7000000000000004E-2</v>
      </c>
      <c r="T57" s="450">
        <f t="shared" si="31"/>
        <v>0.17478156000000003</v>
      </c>
      <c r="U57" s="450">
        <f t="shared" si="32"/>
        <v>0.15461522999999999</v>
      </c>
      <c r="V57" s="450">
        <f t="shared" si="33"/>
        <v>8.0177999999999999E-2</v>
      </c>
      <c r="W57" s="450">
        <f t="shared" si="34"/>
        <v>8.6211629999999997E-2</v>
      </c>
      <c r="X57" s="450">
        <f t="shared" si="35"/>
        <v>3.4558439999999996E-2</v>
      </c>
      <c r="Y57" s="450">
        <f t="shared" si="36"/>
        <v>1.1455999999999999E-3</v>
      </c>
      <c r="Z57" s="450">
        <f t="shared" si="37"/>
        <v>1.1200000000000001</v>
      </c>
      <c r="AA57" s="450">
        <f t="shared" si="38"/>
        <v>0.14187617999999999</v>
      </c>
    </row>
    <row r="58" spans="1:27" x14ac:dyDescent="0.2">
      <c r="A58" s="321" t="s">
        <v>759</v>
      </c>
      <c r="B58" s="321">
        <v>515</v>
      </c>
      <c r="C58" s="321">
        <v>14</v>
      </c>
      <c r="D58" s="453">
        <v>53.4</v>
      </c>
      <c r="E58" s="453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55">
        <v>6</v>
      </c>
      <c r="L58" s="454">
        <v>9.8000000000000007</v>
      </c>
      <c r="M58" s="454">
        <v>310</v>
      </c>
      <c r="N58" s="459"/>
      <c r="O58" s="451" t="str">
        <f t="shared" si="39"/>
        <v>Nutrilon Pepti Junior pdr</v>
      </c>
      <c r="P58" s="450">
        <f t="shared" si="27"/>
        <v>5.15</v>
      </c>
      <c r="Q58" s="450">
        <f t="shared" si="28"/>
        <v>0.14000000000000001</v>
      </c>
      <c r="R58" s="450">
        <f t="shared" si="29"/>
        <v>0.53400000000000003</v>
      </c>
      <c r="S58" s="450">
        <f t="shared" si="30"/>
        <v>0.27300000000000002</v>
      </c>
      <c r="T58" s="450">
        <f t="shared" si="31"/>
        <v>6.0869199999999998E-2</v>
      </c>
      <c r="U58" s="450">
        <f t="shared" si="32"/>
        <v>0.12999987000000002</v>
      </c>
      <c r="V58" s="450">
        <f t="shared" si="33"/>
        <v>9.7110000000000002E-2</v>
      </c>
      <c r="W58" s="450">
        <f t="shared" si="34"/>
        <v>7.0390019999999998E-2</v>
      </c>
      <c r="X58" s="450">
        <f t="shared" si="35"/>
        <v>1.6456399999999996E-2</v>
      </c>
      <c r="Y58" s="450">
        <f t="shared" si="36"/>
        <v>1.0739999999999999E-3</v>
      </c>
      <c r="Z58" s="450">
        <f t="shared" si="37"/>
        <v>3.92</v>
      </c>
      <c r="AA58" s="450">
        <f t="shared" si="38"/>
        <v>8.7438599999999991E-2</v>
      </c>
    </row>
    <row r="59" spans="1:27" x14ac:dyDescent="0.2">
      <c r="A59" s="321" t="s">
        <v>760</v>
      </c>
      <c r="B59" s="321">
        <v>474</v>
      </c>
      <c r="C59" s="321">
        <v>15.6</v>
      </c>
      <c r="D59" s="453">
        <v>22.9</v>
      </c>
      <c r="E59" s="453">
        <v>49.8</v>
      </c>
      <c r="F59" s="321">
        <v>415</v>
      </c>
      <c r="G59" s="321">
        <v>474</v>
      </c>
      <c r="H59" s="321">
        <v>593</v>
      </c>
      <c r="I59" s="321">
        <v>332</v>
      </c>
      <c r="J59" s="454">
        <v>47</v>
      </c>
      <c r="K59" s="453">
        <v>9.5</v>
      </c>
      <c r="L59" s="321">
        <v>18</v>
      </c>
      <c r="M59" s="321">
        <v>504</v>
      </c>
      <c r="N59" s="451"/>
      <c r="O59" s="451" t="str">
        <f t="shared" si="39"/>
        <v>Nutrilon Nenatal Start pdr</v>
      </c>
      <c r="P59" s="450">
        <f t="shared" si="27"/>
        <v>4.74</v>
      </c>
      <c r="Q59" s="450">
        <f t="shared" si="28"/>
        <v>0.156</v>
      </c>
      <c r="R59" s="450">
        <f t="shared" si="29"/>
        <v>0.22899999999999998</v>
      </c>
      <c r="S59" s="450">
        <f t="shared" si="30"/>
        <v>0.498</v>
      </c>
      <c r="T59" s="450">
        <f t="shared" si="31"/>
        <v>0.1804337</v>
      </c>
      <c r="U59" s="450">
        <f t="shared" si="32"/>
        <v>0.12153833999999999</v>
      </c>
      <c r="V59" s="450">
        <f t="shared" si="33"/>
        <v>0.14765699999999998</v>
      </c>
      <c r="W59" s="450">
        <f t="shared" si="34"/>
        <v>0.10719947999999999</v>
      </c>
      <c r="X59" s="450">
        <f t="shared" si="35"/>
        <v>1.9336269999999999E-2</v>
      </c>
      <c r="Y59" s="450">
        <f t="shared" si="36"/>
        <v>1.7004999999999998E-3</v>
      </c>
      <c r="Z59" s="450">
        <f t="shared" si="37"/>
        <v>7.2</v>
      </c>
      <c r="AA59" s="450">
        <f t="shared" si="38"/>
        <v>0.14215823999999999</v>
      </c>
    </row>
    <row r="60" spans="1:27" x14ac:dyDescent="0.2">
      <c r="A60" s="321" t="s">
        <v>747</v>
      </c>
      <c r="B60" s="321">
        <v>491</v>
      </c>
      <c r="C60" s="321">
        <v>13.4</v>
      </c>
      <c r="D60" s="453">
        <v>49.1</v>
      </c>
      <c r="E60" s="453">
        <v>26</v>
      </c>
      <c r="F60" s="321">
        <v>183</v>
      </c>
      <c r="G60" s="321">
        <v>504</v>
      </c>
      <c r="H60" s="321">
        <v>569</v>
      </c>
      <c r="I60" s="321">
        <v>308</v>
      </c>
      <c r="J60" s="454">
        <v>46</v>
      </c>
      <c r="K60" s="453">
        <v>7.9</v>
      </c>
      <c r="L60" s="321">
        <v>11</v>
      </c>
      <c r="M60" s="321">
        <v>360</v>
      </c>
      <c r="N60" s="451"/>
      <c r="O60" s="451" t="str">
        <f t="shared" si="39"/>
        <v>Nutrilon Nenatal 1</v>
      </c>
      <c r="P60" s="450">
        <f t="shared" si="27"/>
        <v>4.91</v>
      </c>
      <c r="Q60" s="450">
        <f t="shared" si="28"/>
        <v>0.13400000000000001</v>
      </c>
      <c r="R60" s="450">
        <f t="shared" si="29"/>
        <v>0.49099999999999999</v>
      </c>
      <c r="S60" s="450">
        <f t="shared" si="30"/>
        <v>0.26</v>
      </c>
      <c r="T60" s="450">
        <f t="shared" si="31"/>
        <v>7.9564740000000009E-2</v>
      </c>
      <c r="U60" s="450">
        <f t="shared" si="32"/>
        <v>0.12923064000000001</v>
      </c>
      <c r="V60" s="450">
        <f t="shared" si="33"/>
        <v>0.141681</v>
      </c>
      <c r="W60" s="450">
        <f t="shared" si="34"/>
        <v>9.9450120000000003E-2</v>
      </c>
      <c r="X60" s="450">
        <f t="shared" si="35"/>
        <v>1.8924859999999998E-2</v>
      </c>
      <c r="Y60" s="450">
        <f t="shared" si="36"/>
        <v>1.4141000000000002E-3</v>
      </c>
      <c r="Z60" s="450">
        <f t="shared" si="37"/>
        <v>4.4000000000000004</v>
      </c>
      <c r="AA60" s="450">
        <f t="shared" si="38"/>
        <v>0.1015416</v>
      </c>
    </row>
    <row r="61" spans="1:27" x14ac:dyDescent="0.2">
      <c r="A61" s="454" t="s">
        <v>761</v>
      </c>
      <c r="B61" s="321">
        <v>338</v>
      </c>
      <c r="C61" s="321">
        <v>82.1</v>
      </c>
      <c r="D61" s="453">
        <v>2.2000000000000002</v>
      </c>
      <c r="E61" s="453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53">
        <v>0</v>
      </c>
      <c r="L61" s="321">
        <v>0</v>
      </c>
      <c r="M61" s="321">
        <v>66</v>
      </c>
      <c r="N61" s="451"/>
      <c r="O61" s="451" t="str">
        <f t="shared" si="39"/>
        <v>Nutrilon Nenatal Protein Fortifier</v>
      </c>
      <c r="P61" s="450">
        <f t="shared" si="27"/>
        <v>3.38</v>
      </c>
      <c r="Q61" s="450">
        <f t="shared" si="28"/>
        <v>0.82099999999999995</v>
      </c>
      <c r="R61" s="450">
        <f t="shared" si="29"/>
        <v>2.2000000000000002E-2</v>
      </c>
      <c r="S61" s="450">
        <f t="shared" si="30"/>
        <v>1E-3</v>
      </c>
      <c r="T61" s="450">
        <f t="shared" si="31"/>
        <v>0.33738928000000001</v>
      </c>
      <c r="U61" s="450">
        <f t="shared" si="32"/>
        <v>0.31435866000000001</v>
      </c>
      <c r="V61" s="450">
        <f t="shared" si="33"/>
        <v>0.13047599999999998</v>
      </c>
      <c r="W61" s="450">
        <f t="shared" si="34"/>
        <v>0.16661123999999997</v>
      </c>
      <c r="X61" s="450">
        <f t="shared" si="35"/>
        <v>1.8924859999999998E-2</v>
      </c>
      <c r="Y61" s="450">
        <f t="shared" si="36"/>
        <v>0</v>
      </c>
      <c r="Z61" s="450">
        <f t="shared" si="37"/>
        <v>0</v>
      </c>
      <c r="AA61" s="450">
        <f t="shared" si="38"/>
        <v>1.8615959999999997E-2</v>
      </c>
    </row>
    <row r="62" spans="1:27" x14ac:dyDescent="0.2">
      <c r="A62" s="454" t="s">
        <v>762</v>
      </c>
      <c r="B62" s="454">
        <v>450</v>
      </c>
      <c r="C62" s="454">
        <v>0</v>
      </c>
      <c r="D62" s="455">
        <v>0</v>
      </c>
      <c r="E62" s="455">
        <v>50</v>
      </c>
      <c r="F62" s="454">
        <v>7</v>
      </c>
      <c r="G62" s="454">
        <v>0</v>
      </c>
      <c r="H62" s="454">
        <v>0</v>
      </c>
      <c r="I62" s="454">
        <v>0</v>
      </c>
      <c r="J62" s="454">
        <v>0</v>
      </c>
      <c r="K62" s="455">
        <v>0</v>
      </c>
      <c r="L62" s="454">
        <v>0</v>
      </c>
      <c r="M62" s="454">
        <v>0.1</v>
      </c>
      <c r="N62" s="459"/>
      <c r="O62" s="451" t="str">
        <f t="shared" si="39"/>
        <v>Calogen neutraal</v>
      </c>
      <c r="P62" s="450">
        <f t="shared" si="27"/>
        <v>4.5</v>
      </c>
      <c r="Q62" s="450">
        <f t="shared" si="28"/>
        <v>0</v>
      </c>
      <c r="R62" s="450">
        <f t="shared" si="29"/>
        <v>0</v>
      </c>
      <c r="S62" s="450">
        <f t="shared" si="30"/>
        <v>0.5</v>
      </c>
      <c r="T62" s="450">
        <f t="shared" si="31"/>
        <v>3.04346E-3</v>
      </c>
      <c r="U62" s="450">
        <f t="shared" si="32"/>
        <v>0</v>
      </c>
      <c r="V62" s="450">
        <f t="shared" si="33"/>
        <v>0</v>
      </c>
      <c r="W62" s="450">
        <f t="shared" si="34"/>
        <v>0</v>
      </c>
      <c r="X62" s="450">
        <f t="shared" si="35"/>
        <v>0</v>
      </c>
      <c r="Y62" s="450">
        <f t="shared" si="36"/>
        <v>0</v>
      </c>
      <c r="Z62" s="450">
        <f t="shared" si="37"/>
        <v>0</v>
      </c>
      <c r="AA62" s="450">
        <f t="shared" si="38"/>
        <v>2.8206000000000001E-5</v>
      </c>
    </row>
    <row r="63" spans="1:27" x14ac:dyDescent="0.2">
      <c r="A63" s="454" t="s">
        <v>763</v>
      </c>
      <c r="B63" s="454">
        <v>450</v>
      </c>
      <c r="C63" s="454">
        <v>0</v>
      </c>
      <c r="D63" s="455">
        <v>0</v>
      </c>
      <c r="E63" s="455">
        <v>50</v>
      </c>
      <c r="F63" s="454">
        <v>5</v>
      </c>
      <c r="G63" s="454">
        <v>0.1</v>
      </c>
      <c r="H63" s="454">
        <v>0.3</v>
      </c>
      <c r="I63" s="454">
        <v>0</v>
      </c>
      <c r="J63" s="454">
        <v>0</v>
      </c>
      <c r="K63" s="455">
        <v>0</v>
      </c>
      <c r="L63" s="454">
        <v>0</v>
      </c>
      <c r="M63" s="454">
        <v>0.01</v>
      </c>
      <c r="N63" s="459"/>
      <c r="O63" s="451" t="str">
        <f t="shared" si="39"/>
        <v>Liquigen</v>
      </c>
      <c r="P63" s="450">
        <f t="shared" si="27"/>
        <v>4.5</v>
      </c>
      <c r="Q63" s="450">
        <f t="shared" si="28"/>
        <v>0</v>
      </c>
      <c r="R63" s="450">
        <f t="shared" si="29"/>
        <v>0</v>
      </c>
      <c r="S63" s="450">
        <f t="shared" si="30"/>
        <v>0.5</v>
      </c>
      <c r="T63" s="450">
        <f t="shared" si="31"/>
        <v>2.1739000000000003E-3</v>
      </c>
      <c r="U63" s="450">
        <f t="shared" si="32"/>
        <v>2.5641000000000001E-5</v>
      </c>
      <c r="V63" s="450">
        <f t="shared" si="33"/>
        <v>7.4699999999999986E-5</v>
      </c>
      <c r="W63" s="450">
        <f t="shared" si="34"/>
        <v>0</v>
      </c>
      <c r="X63" s="450">
        <f t="shared" si="35"/>
        <v>0</v>
      </c>
      <c r="Y63" s="450">
        <f t="shared" si="36"/>
        <v>0</v>
      </c>
      <c r="Z63" s="450">
        <f t="shared" si="37"/>
        <v>0</v>
      </c>
      <c r="AA63" s="450">
        <f t="shared" si="38"/>
        <v>2.8205999999999997E-6</v>
      </c>
    </row>
    <row r="64" spans="1:27" x14ac:dyDescent="0.2">
      <c r="A64" s="454" t="s">
        <v>425</v>
      </c>
      <c r="B64" s="454">
        <v>384</v>
      </c>
      <c r="C64" s="454">
        <v>0</v>
      </c>
      <c r="D64" s="455">
        <v>96</v>
      </c>
      <c r="E64" s="455">
        <v>0</v>
      </c>
      <c r="F64" s="454">
        <v>2</v>
      </c>
      <c r="G64" s="454">
        <v>0</v>
      </c>
      <c r="H64" s="454">
        <v>0</v>
      </c>
      <c r="I64" s="454">
        <v>0</v>
      </c>
      <c r="J64" s="454">
        <v>0</v>
      </c>
      <c r="K64" s="455">
        <v>0</v>
      </c>
      <c r="L64" s="454">
        <v>0</v>
      </c>
      <c r="M64" s="454">
        <v>0</v>
      </c>
      <c r="N64" s="459"/>
      <c r="O64" s="451" t="str">
        <f t="shared" si="39"/>
        <v>Fantomalt</v>
      </c>
      <c r="P64" s="450">
        <f t="shared" si="27"/>
        <v>3.84</v>
      </c>
      <c r="Q64" s="450">
        <f t="shared" si="28"/>
        <v>0</v>
      </c>
      <c r="R64" s="450">
        <f t="shared" si="29"/>
        <v>0.96</v>
      </c>
      <c r="S64" s="450">
        <f t="shared" si="30"/>
        <v>0</v>
      </c>
      <c r="T64" s="450">
        <f t="shared" si="31"/>
        <v>8.6956000000000002E-4</v>
      </c>
      <c r="U64" s="450">
        <f t="shared" si="32"/>
        <v>0</v>
      </c>
      <c r="V64" s="450">
        <f t="shared" si="33"/>
        <v>0</v>
      </c>
      <c r="W64" s="450">
        <f t="shared" si="34"/>
        <v>0</v>
      </c>
      <c r="X64" s="450">
        <f t="shared" si="35"/>
        <v>0</v>
      </c>
      <c r="Y64" s="450">
        <f t="shared" si="36"/>
        <v>0</v>
      </c>
      <c r="Z64" s="450">
        <f t="shared" si="37"/>
        <v>0</v>
      </c>
      <c r="AA64" s="450">
        <f t="shared" si="38"/>
        <v>0</v>
      </c>
    </row>
    <row r="65" spans="1:27" x14ac:dyDescent="0.2">
      <c r="A65" s="454" t="s">
        <v>764</v>
      </c>
      <c r="B65" s="454">
        <v>493</v>
      </c>
      <c r="C65" s="454">
        <v>11.6</v>
      </c>
      <c r="D65" s="455">
        <v>51.8</v>
      </c>
      <c r="E65" s="461">
        <v>25.7</v>
      </c>
      <c r="F65" s="454">
        <v>150</v>
      </c>
      <c r="G65" s="454">
        <v>598</v>
      </c>
      <c r="H65" s="454">
        <v>346</v>
      </c>
      <c r="I65" s="454">
        <v>191</v>
      </c>
      <c r="J65" s="454">
        <v>39</v>
      </c>
      <c r="K65" s="455">
        <v>3.9</v>
      </c>
      <c r="L65" s="462">
        <v>9.4</v>
      </c>
      <c r="M65" s="462">
        <v>290</v>
      </c>
      <c r="N65" s="463"/>
      <c r="O65" s="451" t="str">
        <f t="shared" si="39"/>
        <v>Nutrilon Pepti 1 pdr</v>
      </c>
      <c r="P65" s="450">
        <f t="shared" si="27"/>
        <v>4.93</v>
      </c>
      <c r="Q65" s="450">
        <f t="shared" si="28"/>
        <v>0.11599999999999999</v>
      </c>
      <c r="R65" s="450">
        <f t="shared" si="29"/>
        <v>0.51800000000000002</v>
      </c>
      <c r="S65" s="450">
        <f t="shared" si="30"/>
        <v>0.25700000000000001</v>
      </c>
      <c r="T65" s="450">
        <f t="shared" si="31"/>
        <v>6.5216999999999997E-2</v>
      </c>
      <c r="U65" s="450">
        <f t="shared" si="32"/>
        <v>0.15333318000000001</v>
      </c>
      <c r="V65" s="450">
        <f t="shared" si="33"/>
        <v>8.6153999999999994E-2</v>
      </c>
      <c r="W65" s="450">
        <f t="shared" si="34"/>
        <v>6.1671990000000003E-2</v>
      </c>
      <c r="X65" s="450">
        <f t="shared" si="35"/>
        <v>1.6044989999999999E-2</v>
      </c>
      <c r="Y65" s="450">
        <f t="shared" si="36"/>
        <v>6.981E-4</v>
      </c>
      <c r="Z65" s="450">
        <f t="shared" si="37"/>
        <v>3.76</v>
      </c>
      <c r="AA65" s="450">
        <f t="shared" si="38"/>
        <v>8.1797399999999992E-2</v>
      </c>
    </row>
    <row r="66" spans="1:27" x14ac:dyDescent="0.2">
      <c r="A66" s="454" t="s">
        <v>765</v>
      </c>
      <c r="B66" s="454">
        <v>483</v>
      </c>
      <c r="C66" s="454">
        <v>11</v>
      </c>
      <c r="D66" s="455">
        <v>52.5</v>
      </c>
      <c r="E66" s="455">
        <v>24.6</v>
      </c>
      <c r="F66" s="454">
        <v>181</v>
      </c>
      <c r="G66" s="454">
        <v>530</v>
      </c>
      <c r="H66" s="454">
        <v>339</v>
      </c>
      <c r="I66" s="454">
        <v>190</v>
      </c>
      <c r="J66" s="454">
        <v>37</v>
      </c>
      <c r="K66" s="455">
        <v>3.9</v>
      </c>
      <c r="L66" s="462">
        <v>8.8000000000000007</v>
      </c>
      <c r="M66" s="462">
        <v>302</v>
      </c>
      <c r="N66" s="463"/>
      <c r="O66" s="451" t="str">
        <f t="shared" si="39"/>
        <v>Nutrilon Hypoallergeen 1 pdr</v>
      </c>
      <c r="P66" s="450">
        <f t="shared" si="27"/>
        <v>4.83</v>
      </c>
      <c r="Q66" s="450">
        <f t="shared" si="28"/>
        <v>0.11</v>
      </c>
      <c r="R66" s="450">
        <f t="shared" si="29"/>
        <v>0.52500000000000002</v>
      </c>
      <c r="S66" s="450">
        <f t="shared" si="30"/>
        <v>0.24600000000000002</v>
      </c>
      <c r="T66" s="450">
        <f t="shared" si="31"/>
        <v>7.8695180000000003E-2</v>
      </c>
      <c r="U66" s="450">
        <f t="shared" si="32"/>
        <v>0.1358973</v>
      </c>
      <c r="V66" s="450">
        <f t="shared" si="33"/>
        <v>8.4410999999999986E-2</v>
      </c>
      <c r="W66" s="450">
        <f t="shared" si="34"/>
        <v>6.1349099999999997E-2</v>
      </c>
      <c r="X66" s="450">
        <f t="shared" si="35"/>
        <v>1.522217E-2</v>
      </c>
      <c r="Y66" s="450">
        <f t="shared" si="36"/>
        <v>6.981E-4</v>
      </c>
      <c r="Z66" s="450">
        <f t="shared" si="37"/>
        <v>3.52</v>
      </c>
      <c r="AA66" s="450">
        <f t="shared" si="38"/>
        <v>8.518212E-2</v>
      </c>
    </row>
    <row r="67" spans="1:27" x14ac:dyDescent="0.2">
      <c r="A67" s="454" t="s">
        <v>766</v>
      </c>
      <c r="B67" s="454">
        <v>483</v>
      </c>
      <c r="C67" s="454">
        <v>13</v>
      </c>
      <c r="D67" s="455">
        <v>52.5</v>
      </c>
      <c r="E67" s="455">
        <v>24.5</v>
      </c>
      <c r="F67" s="454">
        <v>189</v>
      </c>
      <c r="G67" s="454">
        <v>525</v>
      </c>
      <c r="H67" s="454">
        <v>475</v>
      </c>
      <c r="I67" s="454">
        <v>341</v>
      </c>
      <c r="J67" s="454">
        <v>51</v>
      </c>
      <c r="K67" s="455">
        <v>7.25</v>
      </c>
      <c r="L67" s="462">
        <v>8.8000000000000007</v>
      </c>
      <c r="M67" s="462">
        <v>386</v>
      </c>
      <c r="N67" s="463"/>
      <c r="O67" s="451" t="str">
        <f t="shared" si="39"/>
        <v>Neocate LCP</v>
      </c>
      <c r="P67" s="450">
        <f t="shared" si="27"/>
        <v>4.83</v>
      </c>
      <c r="Q67" s="450">
        <f t="shared" si="28"/>
        <v>0.13</v>
      </c>
      <c r="R67" s="450">
        <f t="shared" si="29"/>
        <v>0.52500000000000002</v>
      </c>
      <c r="S67" s="450">
        <f t="shared" si="30"/>
        <v>0.245</v>
      </c>
      <c r="T67" s="450">
        <f t="shared" si="31"/>
        <v>8.2173419999999997E-2</v>
      </c>
      <c r="U67" s="450">
        <f t="shared" si="32"/>
        <v>0.13461524999999999</v>
      </c>
      <c r="V67" s="450">
        <f t="shared" si="33"/>
        <v>0.11827499999999999</v>
      </c>
      <c r="W67" s="450">
        <f t="shared" si="34"/>
        <v>0.11010548999999999</v>
      </c>
      <c r="X67" s="450">
        <f t="shared" si="35"/>
        <v>2.0981909999999999E-2</v>
      </c>
      <c r="Y67" s="450">
        <f t="shared" si="36"/>
        <v>1.2977500000000001E-3</v>
      </c>
      <c r="Z67" s="450">
        <f t="shared" si="37"/>
        <v>3.52</v>
      </c>
      <c r="AA67" s="450">
        <f t="shared" si="38"/>
        <v>0.10887516</v>
      </c>
    </row>
    <row r="68" spans="1:27" x14ac:dyDescent="0.2">
      <c r="A68" s="454" t="s">
        <v>767</v>
      </c>
      <c r="B68" s="454">
        <v>475</v>
      </c>
      <c r="C68" s="454">
        <v>13.3</v>
      </c>
      <c r="D68" s="455">
        <v>56</v>
      </c>
      <c r="E68" s="455">
        <v>22</v>
      </c>
      <c r="F68" s="454">
        <v>285</v>
      </c>
      <c r="G68" s="454">
        <v>546</v>
      </c>
      <c r="H68" s="454">
        <v>428</v>
      </c>
      <c r="I68" s="454">
        <v>309</v>
      </c>
      <c r="J68" s="454">
        <v>66.5</v>
      </c>
      <c r="K68" s="455">
        <v>5.7</v>
      </c>
      <c r="L68" s="454">
        <v>6.2</v>
      </c>
      <c r="M68" s="454">
        <v>437</v>
      </c>
      <c r="N68" s="459"/>
      <c r="O68" s="451" t="str">
        <f t="shared" si="39"/>
        <v>Neocate Junior</v>
      </c>
      <c r="P68" s="450">
        <f t="shared" si="27"/>
        <v>4.75</v>
      </c>
      <c r="Q68" s="450">
        <f t="shared" si="28"/>
        <v>0.13300000000000001</v>
      </c>
      <c r="R68" s="450">
        <f t="shared" si="29"/>
        <v>0.56000000000000005</v>
      </c>
      <c r="S68" s="450">
        <f t="shared" si="30"/>
        <v>0.22</v>
      </c>
      <c r="T68" s="450">
        <f t="shared" si="31"/>
        <v>0.1239123</v>
      </c>
      <c r="U68" s="450">
        <f t="shared" si="32"/>
        <v>0.13999986</v>
      </c>
      <c r="V68" s="450">
        <f t="shared" si="33"/>
        <v>0.106572</v>
      </c>
      <c r="W68" s="450">
        <f t="shared" si="34"/>
        <v>9.9773009999999995E-2</v>
      </c>
      <c r="X68" s="450">
        <f t="shared" si="35"/>
        <v>2.7358764999999997E-2</v>
      </c>
      <c r="Y68" s="450">
        <f t="shared" si="36"/>
        <v>1.0203E-3</v>
      </c>
      <c r="Z68" s="450">
        <f t="shared" si="37"/>
        <v>2.48</v>
      </c>
      <c r="AA68" s="450">
        <f t="shared" si="38"/>
        <v>0.12326022</v>
      </c>
    </row>
    <row r="69" spans="1:27" x14ac:dyDescent="0.2">
      <c r="A69" s="454" t="s">
        <v>836</v>
      </c>
      <c r="B69" s="458">
        <v>484</v>
      </c>
      <c r="C69" s="458">
        <v>9.6999999999999993</v>
      </c>
      <c r="D69" s="458">
        <v>53.8</v>
      </c>
      <c r="E69" s="458">
        <v>24.7</v>
      </c>
      <c r="F69" s="458">
        <v>125</v>
      </c>
      <c r="G69" s="458">
        <v>501</v>
      </c>
      <c r="H69" s="458">
        <v>418</v>
      </c>
      <c r="I69" s="458">
        <v>237</v>
      </c>
      <c r="J69" s="458">
        <v>37</v>
      </c>
      <c r="K69" s="458">
        <v>3.9</v>
      </c>
      <c r="L69" s="458">
        <v>8.6999999999999993</v>
      </c>
      <c r="M69" s="458">
        <v>304</v>
      </c>
      <c r="O69" s="451" t="str">
        <f t="shared" si="39"/>
        <v>Nutrilon 1</v>
      </c>
      <c r="P69" s="450">
        <f t="shared" si="27"/>
        <v>4.84</v>
      </c>
      <c r="Q69" s="450">
        <f t="shared" si="28"/>
        <v>9.6999999999999989E-2</v>
      </c>
      <c r="R69" s="450">
        <f t="shared" si="29"/>
        <v>0.53799999999999992</v>
      </c>
      <c r="S69" s="450">
        <f t="shared" si="30"/>
        <v>0.247</v>
      </c>
      <c r="T69" s="450">
        <f t="shared" si="31"/>
        <v>5.43475E-2</v>
      </c>
      <c r="U69" s="450">
        <f t="shared" si="32"/>
        <v>0.12846141</v>
      </c>
      <c r="V69" s="450">
        <f t="shared" si="33"/>
        <v>0.10408199999999999</v>
      </c>
      <c r="W69" s="450">
        <f t="shared" si="34"/>
        <v>7.6524929999999991E-2</v>
      </c>
      <c r="X69" s="450">
        <f t="shared" si="35"/>
        <v>1.522217E-2</v>
      </c>
      <c r="Y69" s="450">
        <f t="shared" si="36"/>
        <v>6.981E-4</v>
      </c>
      <c r="Z69" s="450">
        <f t="shared" si="37"/>
        <v>3.48</v>
      </c>
      <c r="AA69" s="450">
        <f t="shared" si="38"/>
        <v>8.5746240000000001E-2</v>
      </c>
    </row>
    <row r="70" spans="1:27" x14ac:dyDescent="0.2">
      <c r="A70" s="454" t="s">
        <v>819</v>
      </c>
      <c r="B70" s="458">
        <v>318</v>
      </c>
      <c r="C70" s="458">
        <v>0</v>
      </c>
      <c r="D70" s="458">
        <v>66.2</v>
      </c>
      <c r="E70" s="458">
        <v>0.3</v>
      </c>
      <c r="F70" s="458">
        <v>6</v>
      </c>
      <c r="G70" s="458">
        <v>91</v>
      </c>
      <c r="H70" s="458">
        <v>335</v>
      </c>
      <c r="I70" s="458">
        <v>12</v>
      </c>
      <c r="J70" s="458">
        <v>9.1</v>
      </c>
      <c r="K70" s="458">
        <v>8.8000000000000007</v>
      </c>
      <c r="L70" s="458">
        <v>0</v>
      </c>
      <c r="M70" s="458">
        <v>109</v>
      </c>
      <c r="O70" s="451" t="str">
        <f t="shared" si="39"/>
        <v>Nutriton</v>
      </c>
      <c r="P70" s="450">
        <f t="shared" si="27"/>
        <v>3.18</v>
      </c>
      <c r="Q70" s="450">
        <f t="shared" si="28"/>
        <v>0</v>
      </c>
      <c r="R70" s="450">
        <f t="shared" si="29"/>
        <v>0.66200000000000003</v>
      </c>
      <c r="S70" s="450">
        <f t="shared" si="30"/>
        <v>3.0000000000000001E-3</v>
      </c>
      <c r="T70" s="450">
        <f t="shared" si="31"/>
        <v>2.6086799999999999E-3</v>
      </c>
      <c r="U70" s="450">
        <f t="shared" si="32"/>
        <v>2.3333310000000003E-2</v>
      </c>
      <c r="V70" s="450">
        <f t="shared" si="33"/>
        <v>8.3415000000000003E-2</v>
      </c>
      <c r="W70" s="450">
        <f t="shared" si="34"/>
        <v>3.8746799999999997E-3</v>
      </c>
      <c r="X70" s="450">
        <f t="shared" si="35"/>
        <v>3.7438309999999995E-3</v>
      </c>
      <c r="Y70" s="450">
        <f t="shared" si="36"/>
        <v>1.5751999999999999E-3</v>
      </c>
      <c r="Z70" s="450">
        <f t="shared" si="37"/>
        <v>0</v>
      </c>
      <c r="AA70" s="450">
        <f t="shared" si="38"/>
        <v>3.0744539999999997E-2</v>
      </c>
    </row>
    <row r="71" spans="1:27" x14ac:dyDescent="0.2">
      <c r="A71" s="459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41541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74"/>
  <sheetViews>
    <sheetView topLeftCell="A43" workbookViewId="0">
      <selection activeCell="B70" sqref="B70:B74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5332</v>
      </c>
      <c r="B1" s="797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5433</v>
      </c>
      <c r="B2" s="797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5333</v>
      </c>
      <c r="B3" s="797" t="str">
        <f t="shared" si="0"/>
        <v>strSql = strSql &amp; "DECLARE @patNum AS nvarchar(40)" &amp; vbNewLine</v>
      </c>
    </row>
    <row r="4" spans="1:2" ht="15" x14ac:dyDescent="0.25">
      <c r="A4" t="s">
        <v>5334</v>
      </c>
      <c r="B4" s="797" t="str">
        <f t="shared" si="0"/>
        <v>strSql = strSql &amp; "DECLARE @bd AS int" &amp; vbNewLine</v>
      </c>
    </row>
    <row r="5" spans="1:2" ht="15" x14ac:dyDescent="0.25">
      <c r="A5" t="s">
        <v>5335</v>
      </c>
      <c r="B5" s="797" t="str">
        <f t="shared" si="0"/>
        <v>strSql = strSql &amp; "DECLARE @weightKg AS int" &amp; vbNewLine</v>
      </c>
    </row>
    <row r="6" spans="1:2" ht="15" x14ac:dyDescent="0.25">
      <c r="A6" t="s">
        <v>5336</v>
      </c>
      <c r="B6" s="797" t="str">
        <f t="shared" si="0"/>
        <v>strSql = strSql &amp; "DECLARE @weightGr AS int" &amp; vbNewLine</v>
      </c>
    </row>
    <row r="7" spans="1:2" ht="15" x14ac:dyDescent="0.25">
      <c r="A7" t="s">
        <v>5337</v>
      </c>
      <c r="B7" s="797" t="str">
        <f t="shared" si="0"/>
        <v>strSql = strSql &amp; "DECLARE @bwGr AS int" &amp; vbNewLine</v>
      </c>
    </row>
    <row r="8" spans="1:2" ht="15" x14ac:dyDescent="0.25">
      <c r="A8" t="s">
        <v>5338</v>
      </c>
      <c r="B8" s="797" t="str">
        <f t="shared" si="0"/>
        <v>strSql = strSql &amp; "DECLARE @length AS int" &amp; vbNewLine</v>
      </c>
    </row>
    <row r="9" spans="1:2" ht="15" x14ac:dyDescent="0.25">
      <c r="A9" t="s">
        <v>5358</v>
      </c>
      <c r="B9" s="797" t="str">
        <f t="shared" si="0"/>
        <v>strSql = strSql &amp; "DECLARE @gesl AS int" &amp; vbNewLine</v>
      </c>
    </row>
    <row r="10" spans="1:2" ht="15" x14ac:dyDescent="0.25">
      <c r="A10" t="s">
        <v>5339</v>
      </c>
      <c r="B10" s="797" t="str">
        <f t="shared" si="0"/>
        <v>strSql = strSql &amp; "DECLARE @adD AS int" &amp; vbNewLine</v>
      </c>
    </row>
    <row r="11" spans="1:2" ht="15" x14ac:dyDescent="0.25">
      <c r="A11" t="s">
        <v>5340</v>
      </c>
      <c r="B11" s="797" t="str">
        <f t="shared" si="0"/>
        <v>strSql = strSql &amp; "DECLARE @adW AS int" &amp; vbNewLine</v>
      </c>
    </row>
    <row r="12" spans="1:2" ht="15" x14ac:dyDescent="0.25">
      <c r="B12" s="797" t="str">
        <f t="shared" si="0"/>
        <v>strSql = strSql &amp; "" &amp; vbNewLine</v>
      </c>
    </row>
    <row r="13" spans="1:2" ht="15" x14ac:dyDescent="0.25">
      <c r="A13" t="s">
        <v>5341</v>
      </c>
      <c r="B13" s="797" t="str">
        <f t="shared" si="0"/>
        <v>strSql = strSql &amp; "SET @bd = 5372" &amp; vbNewLine</v>
      </c>
    </row>
    <row r="14" spans="1:2" ht="15" x14ac:dyDescent="0.25">
      <c r="A14" t="s">
        <v>5342</v>
      </c>
      <c r="B14" s="797" t="str">
        <f t="shared" si="0"/>
        <v>strSql = strSql &amp; "SET @weightKg = 8365" &amp; vbNewLine</v>
      </c>
    </row>
    <row r="15" spans="1:2" ht="15" x14ac:dyDescent="0.25">
      <c r="A15" t="s">
        <v>5343</v>
      </c>
      <c r="B15" s="797" t="str">
        <f t="shared" si="0"/>
        <v>strSql = strSql &amp; "SET @weightGr = 8456" &amp; vbNewLine</v>
      </c>
    </row>
    <row r="16" spans="1:2" ht="15" x14ac:dyDescent="0.25">
      <c r="A16" t="s">
        <v>5344</v>
      </c>
      <c r="B16" s="797" t="str">
        <f t="shared" si="0"/>
        <v>strSql = strSql &amp; "SET @bwGr = 7734" &amp; vbNewLine</v>
      </c>
    </row>
    <row r="17" spans="1:2" ht="15" x14ac:dyDescent="0.25">
      <c r="A17" t="s">
        <v>5345</v>
      </c>
      <c r="B17" s="797" t="str">
        <f t="shared" si="0"/>
        <v>strSql = strSql &amp; "SET @adD = 10213" &amp; vbNewLine</v>
      </c>
    </row>
    <row r="18" spans="1:2" ht="15" x14ac:dyDescent="0.25">
      <c r="A18" t="s">
        <v>5346</v>
      </c>
      <c r="B18" s="797" t="str">
        <f t="shared" si="0"/>
        <v>strSql = strSql &amp; "SET @adW = 10214" &amp; vbNewLine</v>
      </c>
    </row>
    <row r="19" spans="1:2" ht="15" x14ac:dyDescent="0.25">
      <c r="A19" t="s">
        <v>5347</v>
      </c>
      <c r="B19" s="797" t="str">
        <f t="shared" si="0"/>
        <v>strSql = strSql &amp; "SET @length = 9505" &amp; vbNewLine</v>
      </c>
    </row>
    <row r="20" spans="1:2" ht="15" x14ac:dyDescent="0.25">
      <c r="A20" t="s">
        <v>5359</v>
      </c>
      <c r="B20" s="797" t="str">
        <f t="shared" si="0"/>
        <v>strSql = strSql &amp; "SET @gesl = 5373" &amp; vbNewLine</v>
      </c>
    </row>
    <row r="21" spans="1:2" ht="15" x14ac:dyDescent="0.25">
      <c r="A21" t="s">
        <v>5435</v>
      </c>
      <c r="B21" s="797" t="str">
        <f t="shared" si="0"/>
        <v>strSql = strSql &amp; "SET @Bed = 'H2.01.03'" &amp; vbNewLine</v>
      </c>
    </row>
    <row r="22" spans="1:2" ht="15" x14ac:dyDescent="0.25">
      <c r="A22" t="s">
        <v>5348</v>
      </c>
      <c r="B22" s="797" t="str">
        <f t="shared" si="0"/>
        <v>strSql = strSql &amp; "SELECT DISTINCT" &amp; vbNewLine</v>
      </c>
    </row>
    <row r="23" spans="1:2" ht="15" x14ac:dyDescent="0.25">
      <c r="A23" t="s">
        <v>5360</v>
      </c>
      <c r="B23" s="797" t="str">
        <f t="shared" si="0"/>
        <v>strSql = strSql &amp; "pl.PatientID" &amp; vbNewLine</v>
      </c>
    </row>
    <row r="24" spans="1:2" ht="15" x14ac:dyDescent="0.25">
      <c r="A24" t="s">
        <v>5361</v>
      </c>
      <c r="B24" s="797" t="str">
        <f t="shared" si="0"/>
        <v>strSql = strSql &amp; ", pl.HospitalNumber" &amp; vbNewLine</v>
      </c>
    </row>
    <row r="25" spans="1:2" ht="15" x14ac:dyDescent="0.25">
      <c r="A25" t="s">
        <v>5362</v>
      </c>
      <c r="B25" s="797" t="str">
        <f t="shared" si="0"/>
        <v>strSql = strSql &amp; ", pl.LastName" &amp; vbNewLine</v>
      </c>
    </row>
    <row r="26" spans="1:2" ht="15" x14ac:dyDescent="0.25">
      <c r="A26" t="s">
        <v>5363</v>
      </c>
      <c r="B26" s="797" t="str">
        <f t="shared" si="0"/>
        <v>strSql = strSql &amp; ", pl.FirstName" &amp; vbNewLine</v>
      </c>
    </row>
    <row r="27" spans="1:2" ht="15" x14ac:dyDescent="0.25">
      <c r="A27" t="s">
        <v>5364</v>
      </c>
      <c r="B27" s="797" t="str">
        <f t="shared" si="0"/>
        <v>strSql = strSql &amp; ", dts.value BirthDate" &amp; vbNewLine</v>
      </c>
    </row>
    <row r="28" spans="1:2" ht="15" x14ac:dyDescent="0.25">
      <c r="A28" t="s">
        <v>5365</v>
      </c>
      <c r="B28" s="797" t="str">
        <f t="shared" si="0"/>
        <v>strSql = strSql &amp; ", (SELECT TOP 1 s.value / 1000 " &amp; vbNewLine</v>
      </c>
    </row>
    <row r="29" spans="1:2" ht="15" x14ac:dyDescent="0.25">
      <c r="A29" t="s">
        <v>5366</v>
      </c>
      <c r="B29" s="797" t="str">
        <f t="shared" si="0"/>
        <v>strSql = strSql &amp; "   FROM Signals s " &amp; vbNewLine</v>
      </c>
    </row>
    <row r="30" spans="1:2" ht="15" x14ac:dyDescent="0.25">
      <c r="A30" t="s">
        <v>5367</v>
      </c>
      <c r="B30" s="797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5368</v>
      </c>
      <c r="B31" s="797" t="str">
        <f t="shared" si="0"/>
        <v>strSql = strSql &amp; "   ORDER BY s.Time DESC) WeightKg" &amp; vbNewLine</v>
      </c>
    </row>
    <row r="32" spans="1:2" ht="15" x14ac:dyDescent="0.25">
      <c r="A32" t="s">
        <v>5369</v>
      </c>
      <c r="B32" s="797" t="str">
        <f t="shared" si="0"/>
        <v>strSql = strSql &amp; ", (SELECT TOP 1 s.Value " &amp; vbNewLine</v>
      </c>
    </row>
    <row r="33" spans="1:2" ht="15" x14ac:dyDescent="0.25">
      <c r="A33" t="s">
        <v>5366</v>
      </c>
      <c r="B33" s="797" t="str">
        <f t="shared" si="0"/>
        <v>strSql = strSql &amp; "   FROM Signals s " &amp; vbNewLine</v>
      </c>
    </row>
    <row r="34" spans="1:2" ht="15" x14ac:dyDescent="0.25">
      <c r="A34" t="s">
        <v>5370</v>
      </c>
      <c r="B34" s="797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5371</v>
      </c>
      <c r="B35" s="797" t="str">
        <f t="shared" si="0"/>
        <v>strSql = strSql &amp; "   ORDER BY s.Time DESC) WeightGr" &amp; vbNewLine</v>
      </c>
    </row>
    <row r="36" spans="1:2" ht="15" x14ac:dyDescent="0.25">
      <c r="A36" t="s">
        <v>5372</v>
      </c>
      <c r="B36" s="797" t="str">
        <f t="shared" si="0"/>
        <v>strSql = strSql &amp; ", (SELECT TOP 1 s.value * 100 " &amp; vbNewLine</v>
      </c>
    </row>
    <row r="37" spans="1:2" ht="15" x14ac:dyDescent="0.25">
      <c r="A37" t="s">
        <v>5366</v>
      </c>
      <c r="B37" s="797" t="str">
        <f t="shared" si="0"/>
        <v>strSql = strSql &amp; "   FROM Signals s " &amp; vbNewLine</v>
      </c>
    </row>
    <row r="38" spans="1:2" ht="15" x14ac:dyDescent="0.25">
      <c r="A38" t="s">
        <v>5373</v>
      </c>
      <c r="B38" s="797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5374</v>
      </c>
      <c r="B39" s="797" t="str">
        <f t="shared" si="0"/>
        <v>strSql = strSql &amp; "   ORDER BY s.Time DESC) LengthCm" &amp; vbNewLine</v>
      </c>
    </row>
    <row r="40" spans="1:2" ht="15" x14ac:dyDescent="0.25">
      <c r="A40" t="s">
        <v>5369</v>
      </c>
      <c r="B40" s="797" t="str">
        <f t="shared" si="0"/>
        <v>strSql = strSql &amp; ", (SELECT TOP 1 s.Value " &amp; vbNewLine</v>
      </c>
    </row>
    <row r="41" spans="1:2" ht="15" x14ac:dyDescent="0.25">
      <c r="A41" t="s">
        <v>5366</v>
      </c>
      <c r="B41" s="797" t="str">
        <f t="shared" si="0"/>
        <v>strSql = strSql &amp; "   FROM Signals s " &amp; vbNewLine</v>
      </c>
    </row>
    <row r="42" spans="1:2" ht="15" x14ac:dyDescent="0.25">
      <c r="A42" t="s">
        <v>5375</v>
      </c>
      <c r="B42" s="797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5376</v>
      </c>
      <c r="B43" s="797" t="str">
        <f t="shared" si="0"/>
        <v>strSql = strSql &amp; "   ORDER BY s.Time DESC) BirthWeightGr" &amp; vbNewLine</v>
      </c>
    </row>
    <row r="44" spans="1:2" ht="15" x14ac:dyDescent="0.25">
      <c r="A44" t="s">
        <v>5377</v>
      </c>
      <c r="B44" s="797" t="str">
        <f t="shared" si="0"/>
        <v>strSql = strSql &amp; ", (SELECT TOP 1 s.value / (60 * 24) " &amp; vbNewLine</v>
      </c>
    </row>
    <row r="45" spans="1:2" ht="15" x14ac:dyDescent="0.25">
      <c r="A45" t="s">
        <v>5366</v>
      </c>
      <c r="B45" s="797" t="str">
        <f t="shared" si="0"/>
        <v>strSql = strSql &amp; "   FROM Signals s " &amp; vbNewLine</v>
      </c>
    </row>
    <row r="46" spans="1:2" ht="15" x14ac:dyDescent="0.25">
      <c r="A46" t="s">
        <v>5378</v>
      </c>
      <c r="B46" s="797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5379</v>
      </c>
      <c r="B47" s="797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5380</v>
      </c>
      <c r="B48" s="797" t="str">
        <f t="shared" si="0"/>
        <v>strSql = strSql &amp; "   ORDER BY s.Time DESC) PregnWeeks" &amp; vbNewLine</v>
      </c>
    </row>
    <row r="49" spans="1:2" ht="15" x14ac:dyDescent="0.25">
      <c r="A49" t="s">
        <v>5381</v>
      </c>
      <c r="B49" s="797" t="str">
        <f t="shared" si="0"/>
        <v>strSql = strSql &amp; ", (SELECT TOP 1 pt.Text " &amp; vbNewLine</v>
      </c>
    </row>
    <row r="50" spans="1:2" ht="15" x14ac:dyDescent="0.25">
      <c r="A50" t="s">
        <v>5382</v>
      </c>
      <c r="B50" s="797" t="str">
        <f t="shared" si="0"/>
        <v>strSql = strSql &amp; "   FROM ParametersText pt " &amp; vbNewLine</v>
      </c>
    </row>
    <row r="51" spans="1:2" ht="15" x14ac:dyDescent="0.25">
      <c r="A51" t="s">
        <v>5383</v>
      </c>
      <c r="B51" s="797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5384</v>
      </c>
      <c r="B52" s="797" t="str">
        <f t="shared" si="0"/>
        <v>strSql = strSql &amp; "   INNER JOIN Parameters p ON p.ParameterID = ts.ParameterID" &amp; vbNewLine</v>
      </c>
    </row>
    <row r="53" spans="1:2" ht="15" x14ac:dyDescent="0.25">
      <c r="A53" t="s">
        <v>5385</v>
      </c>
      <c r="B53" s="797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5386</v>
      </c>
      <c r="B54" s="797" t="str">
        <f t="shared" si="0"/>
        <v>strSql = strSql &amp; "   ORDER BY ts.Time DESC) Geslacht" &amp; vbNewLine</v>
      </c>
    </row>
    <row r="55" spans="1:2" ht="15" x14ac:dyDescent="0.25">
      <c r="A55" t="s">
        <v>5387</v>
      </c>
      <c r="B55" s="797" t="str">
        <f t="shared" si="0"/>
        <v>strSql = strSql &amp; ", lu.Name Department" &amp; vbNewLine</v>
      </c>
    </row>
    <row r="56" spans="1:2" ht="15" x14ac:dyDescent="0.25">
      <c r="A56" t="s">
        <v>5388</v>
      </c>
      <c r="B56" s="797" t="str">
        <f t="shared" si="0"/>
        <v>strSql = strSql &amp; ", b.BedName" &amp; vbNewLine</v>
      </c>
    </row>
    <row r="57" spans="1:2" ht="15" x14ac:dyDescent="0.25">
      <c r="A57" t="s">
        <v>5389</v>
      </c>
      <c r="B57" s="797" t="str">
        <f t="shared" si="0"/>
        <v>strSql = strSql &amp; ", pl.LocationFromTime" &amp; vbNewLine</v>
      </c>
    </row>
    <row r="58" spans="1:2" ht="15" x14ac:dyDescent="0.25">
      <c r="A58" t="s">
        <v>5349</v>
      </c>
      <c r="B58" s="797" t="str">
        <f t="shared" si="0"/>
        <v>strSql = strSql &amp; "FROM PatientLogs pl" &amp; vbNewLine</v>
      </c>
    </row>
    <row r="59" spans="1:2" ht="15" x14ac:dyDescent="0.25">
      <c r="A59" t="s">
        <v>5350</v>
      </c>
      <c r="B59" s="797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5351</v>
      </c>
      <c r="B60" s="797" t="str">
        <f t="shared" si="0"/>
        <v>strSql = strSql &amp; "INNER JOIN Beds b ON b.BedID = pl.BedID" &amp; vbNewLine</v>
      </c>
    </row>
    <row r="61" spans="1:2" ht="15" x14ac:dyDescent="0.25">
      <c r="A61" t="s">
        <v>5352</v>
      </c>
      <c r="B61" s="797" t="str">
        <f t="shared" si="0"/>
        <v>strSql = strSql &amp; "LEFT JOIN DateTimeSignals dts ON dts.PatientID = pl.PatientID" &amp; vbNewLine</v>
      </c>
    </row>
    <row r="62" spans="1:2" ht="15" x14ac:dyDescent="0.25">
      <c r="A62" t="s">
        <v>5353</v>
      </c>
      <c r="B62" s="797" t="str">
        <f t="shared" si="0"/>
        <v>strSql = strSql &amp; "WHERE " &amp; vbNewLine</v>
      </c>
    </row>
    <row r="63" spans="1:2" ht="15" x14ac:dyDescent="0.25">
      <c r="A63" t="s">
        <v>5354</v>
      </c>
      <c r="B63" s="797" t="str">
        <f t="shared" si="0"/>
        <v>strSql = strSql &amp; "dts.ParameterID = @bd" &amp; vbNewLine</v>
      </c>
    </row>
    <row r="64" spans="1:2" ht="15" x14ac:dyDescent="0.25">
      <c r="A64" t="s">
        <v>5355</v>
      </c>
      <c r="B64" s="797" t="str">
        <f t="shared" si="0"/>
        <v>strSql = strSql &amp; "AND (@patId IS NULL OR pl.PatientID = @patId)" &amp; vbNewLine</v>
      </c>
    </row>
    <row r="65" spans="1:2" ht="15" x14ac:dyDescent="0.25">
      <c r="A65" t="s">
        <v>5356</v>
      </c>
      <c r="B65" s="797" t="str">
        <f t="shared" si="0"/>
        <v>strSql = strSql &amp; "AND (@patNum IS NULL OR pl.HospitalNumber = @patNum)" &amp; vbNewLine</v>
      </c>
    </row>
    <row r="66" spans="1:2" ht="15" x14ac:dyDescent="0.25">
      <c r="A66" t="s">
        <v>5434</v>
      </c>
      <c r="B66" s="797" t="str">
        <f t="shared" ref="B66:B74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5357</v>
      </c>
      <c r="B67" s="797" t="str">
        <f t="shared" si="1"/>
        <v>strSql = strSql &amp; "ORDER BY pl.LocationFromTime DESC" &amp; vbNewLine</v>
      </c>
    </row>
    <row r="68" spans="1:2" ht="15" x14ac:dyDescent="0.25">
      <c r="B68" s="797"/>
    </row>
    <row r="69" spans="1:2" ht="15" x14ac:dyDescent="0.25">
      <c r="B69" s="797"/>
    </row>
    <row r="70" spans="1:2" ht="15" x14ac:dyDescent="0.25">
      <c r="A70" t="s">
        <v>6130</v>
      </c>
      <c r="B70" s="797" t="str">
        <f t="shared" si="1"/>
        <v>strSql = strSql &amp; "SELECT p.ParameterName" &amp; vbNewLine</v>
      </c>
    </row>
    <row r="71" spans="1:2" ht="15" x14ac:dyDescent="0.25">
      <c r="A71" t="s">
        <v>6131</v>
      </c>
      <c r="B71" s="797" t="str">
        <f t="shared" si="1"/>
        <v>strSql = strSql &amp; "FROM Parameters p " &amp; vbNewLine</v>
      </c>
    </row>
    <row r="72" spans="1:2" ht="15" x14ac:dyDescent="0.25">
      <c r="A72" t="s">
        <v>6132</v>
      </c>
      <c r="B72" s="797" t="str">
        <f t="shared" si="1"/>
        <v>strSql = strSql &amp; "INNER JOIN ParametersCategories pc ON pc.CategoryID = p.CategoryID" &amp; vbNewLine</v>
      </c>
    </row>
    <row r="73" spans="1:2" ht="15" x14ac:dyDescent="0.25">
      <c r="A73" t="s">
        <v>6133</v>
      </c>
      <c r="B73" s="797" t="str">
        <f t="shared" si="1"/>
        <v>strSql = strSql &amp; "WHERE pc.CategoryName = 'Opdr Medicatie Taken'" &amp; vbNewLine</v>
      </c>
    </row>
    <row r="74" spans="1:2" ht="15" x14ac:dyDescent="0.25">
      <c r="A74" t="s">
        <v>6134</v>
      </c>
      <c r="B74" s="797" t="str">
        <f t="shared" si="1"/>
        <v>strSql = strSql &amp; "ORDER BY p.ParameterName"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94"/>
      <c r="C1" s="209" t="s">
        <v>5308</v>
      </c>
      <c r="D1" s="209" t="s">
        <v>5299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86" t="str">
        <f>IF(__0_PatNum&gt;0,__0_PatNum,"")</f>
        <v/>
      </c>
      <c r="C2" s="209" t="s">
        <v>229</v>
      </c>
      <c r="D2" s="209" t="s">
        <v>5309</v>
      </c>
    </row>
    <row r="3" spans="1:10 4302:4302" x14ac:dyDescent="0.2">
      <c r="A3" s="209" t="str">
        <f t="shared" si="0"/>
        <v>Patient.AchterNaam</v>
      </c>
      <c r="B3" s="786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86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786" t="str">
        <f>IF(__4_GebDatum&gt;0,DateToString(__4_GebDatum),"")</f>
        <v>01-jan-1904</v>
      </c>
      <c r="C5" s="209" t="s">
        <v>229</v>
      </c>
      <c r="D5" s="209" t="s">
        <v>5310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88" t="str">
        <f ca="1">ROUND(NOW()-__4_GebDatum,0)&amp;" dagen"</f>
        <v>41541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786" t="str">
        <f>IF(_Pat_Geslacht&gt;0,_Pat_Geslacht,"")</f>
        <v/>
      </c>
      <c r="C7" s="209" t="s">
        <v>229</v>
      </c>
      <c r="D7" s="209" t="s">
        <v>5279</v>
      </c>
    </row>
    <row r="8" spans="1:10 4302:4302" x14ac:dyDescent="0.2">
      <c r="A8" s="209" t="str">
        <f t="shared" si="0"/>
        <v>Patient.Gewicht</v>
      </c>
      <c r="B8" s="786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786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786" t="str">
        <f>PatDetails!B13</f>
        <v/>
      </c>
      <c r="C10" s="209" t="s">
        <v>229</v>
      </c>
      <c r="D10" s="209" t="s">
        <v>5232</v>
      </c>
    </row>
    <row r="11" spans="1:10 4302:4302" x14ac:dyDescent="0.2">
      <c r="A11" s="209" t="str">
        <f t="shared" si="0"/>
        <v>Patient.Gravid</v>
      </c>
      <c r="B11" s="786" t="str">
        <f>CONCATENATE(E11,"^^",_Pat_GestWeken,"||",F11,"^^",_Pat_GestDagen)</f>
        <v>weken^^0||dagen^^0</v>
      </c>
      <c r="C11" s="209" t="s">
        <v>229</v>
      </c>
      <c r="D11" s="209" t="s">
        <v>5311</v>
      </c>
      <c r="E11" s="209" t="s">
        <v>5300</v>
      </c>
      <c r="F11" s="209" t="s">
        <v>5301</v>
      </c>
    </row>
    <row r="12" spans="1:10 4302:4302" x14ac:dyDescent="0.2">
      <c r="A12" s="209" t="str">
        <f t="shared" si="0"/>
        <v>Lab.Kreat</v>
      </c>
      <c r="B12" s="786" t="str">
        <f>IF(_Glob_Lab_Creatinine&gt;0,_Glob_Lab_Creatinine,"")</f>
        <v/>
      </c>
      <c r="C12" s="209" t="s">
        <v>89</v>
      </c>
      <c r="D12" s="209" t="s">
        <v>5237</v>
      </c>
    </row>
    <row r="13" spans="1:10 4302:4302" x14ac:dyDescent="0.2">
      <c r="A13" s="209" t="str">
        <f t="shared" si="0"/>
        <v>Lab.Na</v>
      </c>
      <c r="B13" s="786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86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86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86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786" t="str">
        <f>IF(_Glob_Lab_Triglyceriden&gt;0,_Glob_Lab_Triglyceriden,"")</f>
        <v/>
      </c>
      <c r="C17" s="209" t="s">
        <v>89</v>
      </c>
      <c r="D17" s="209" t="s">
        <v>5302</v>
      </c>
    </row>
    <row r="18" spans="1:36" x14ac:dyDescent="0.2">
      <c r="A18" s="209" t="str">
        <f t="shared" si="0"/>
        <v>MedDisc.01</v>
      </c>
      <c r="B18" s="786" t="str">
        <f t="shared" ref="B18:B47" si="1">ConcatenateKeyValue(E18:AJ18,"||","^^")</f>
        <v/>
      </c>
      <c r="C18" s="209" t="s">
        <v>5233</v>
      </c>
      <c r="D18" s="214" t="s">
        <v>343</v>
      </c>
      <c r="E18" s="209" t="s">
        <v>5261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5262</v>
      </c>
      <c r="V18" s="209" t="str">
        <f>GlobBerMedDisc!AA2</f>
        <v/>
      </c>
      <c r="W18" s="209" t="s">
        <v>5263</v>
      </c>
      <c r="X18" s="209">
        <f>GlobBerMedDisc!AB2</f>
        <v>0</v>
      </c>
      <c r="Y18" s="209" t="s">
        <v>5264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86" t="str">
        <f t="shared" si="1"/>
        <v/>
      </c>
      <c r="C19" s="209" t="s">
        <v>5233</v>
      </c>
      <c r="D19" s="214" t="s">
        <v>344</v>
      </c>
      <c r="E19" s="209" t="s">
        <v>5261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5262</v>
      </c>
      <c r="V19" s="209" t="str">
        <f>GlobBerMedDisc!AA3</f>
        <v/>
      </c>
      <c r="W19" s="209" t="s">
        <v>5263</v>
      </c>
      <c r="X19" s="209">
        <f>GlobBerMedDisc!AB3</f>
        <v>0</v>
      </c>
      <c r="Y19" s="209" t="s">
        <v>5264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86" t="str">
        <f t="shared" si="1"/>
        <v/>
      </c>
      <c r="C20" s="209" t="s">
        <v>5233</v>
      </c>
      <c r="D20" s="214" t="s">
        <v>345</v>
      </c>
      <c r="E20" s="209" t="s">
        <v>5261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5262</v>
      </c>
      <c r="V20" s="209" t="str">
        <f>GlobBerMedDisc!AA4</f>
        <v/>
      </c>
      <c r="W20" s="209" t="s">
        <v>5263</v>
      </c>
      <c r="X20" s="209">
        <f>GlobBerMedDisc!AB4</f>
        <v>0</v>
      </c>
      <c r="Y20" s="209" t="s">
        <v>5264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86" t="str">
        <f t="shared" si="1"/>
        <v/>
      </c>
      <c r="C21" s="209" t="s">
        <v>5233</v>
      </c>
      <c r="D21" s="214" t="s">
        <v>346</v>
      </c>
      <c r="E21" s="209" t="s">
        <v>5261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5262</v>
      </c>
      <c r="V21" s="209" t="str">
        <f>GlobBerMedDisc!AA5</f>
        <v/>
      </c>
      <c r="W21" s="209" t="s">
        <v>5263</v>
      </c>
      <c r="X21" s="209">
        <f>GlobBerMedDisc!AB5</f>
        <v>0</v>
      </c>
      <c r="Y21" s="209" t="s">
        <v>5264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86" t="str">
        <f t="shared" si="1"/>
        <v/>
      </c>
      <c r="C22" s="209" t="s">
        <v>5233</v>
      </c>
      <c r="D22" s="214" t="s">
        <v>347</v>
      </c>
      <c r="E22" s="209" t="s">
        <v>5261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5262</v>
      </c>
      <c r="V22" s="209" t="str">
        <f>GlobBerMedDisc!AA6</f>
        <v/>
      </c>
      <c r="W22" s="209" t="s">
        <v>5263</v>
      </c>
      <c r="X22" s="209">
        <f>GlobBerMedDisc!AB6</f>
        <v>0</v>
      </c>
      <c r="Y22" s="209" t="s">
        <v>5264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86" t="str">
        <f t="shared" si="1"/>
        <v/>
      </c>
      <c r="C23" s="209" t="s">
        <v>5233</v>
      </c>
      <c r="D23" s="214" t="s">
        <v>348</v>
      </c>
      <c r="E23" s="209" t="s">
        <v>5261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5262</v>
      </c>
      <c r="V23" s="209" t="str">
        <f>GlobBerMedDisc!AA7</f>
        <v/>
      </c>
      <c r="W23" s="209" t="s">
        <v>5263</v>
      </c>
      <c r="X23" s="209">
        <f>GlobBerMedDisc!AB7</f>
        <v>0</v>
      </c>
      <c r="Y23" s="209" t="s">
        <v>5264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86" t="str">
        <f t="shared" si="1"/>
        <v/>
      </c>
      <c r="C24" s="209" t="s">
        <v>5233</v>
      </c>
      <c r="D24" s="214" t="s">
        <v>349</v>
      </c>
      <c r="E24" s="209" t="s">
        <v>5261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5262</v>
      </c>
      <c r="V24" s="209" t="str">
        <f>GlobBerMedDisc!AA8</f>
        <v/>
      </c>
      <c r="W24" s="209" t="s">
        <v>5263</v>
      </c>
      <c r="X24" s="209">
        <f>GlobBerMedDisc!AB8</f>
        <v>0</v>
      </c>
      <c r="Y24" s="209" t="s">
        <v>5264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86" t="str">
        <f t="shared" si="1"/>
        <v/>
      </c>
      <c r="C25" s="209" t="s">
        <v>5233</v>
      </c>
      <c r="D25" s="214" t="s">
        <v>350</v>
      </c>
      <c r="E25" s="209" t="s">
        <v>5261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5262</v>
      </c>
      <c r="V25" s="209" t="str">
        <f>GlobBerMedDisc!AA9</f>
        <v/>
      </c>
      <c r="W25" s="209" t="s">
        <v>5263</v>
      </c>
      <c r="X25" s="209">
        <f>GlobBerMedDisc!AB9</f>
        <v>0</v>
      </c>
      <c r="Y25" s="209" t="s">
        <v>5264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86" t="str">
        <f t="shared" si="1"/>
        <v/>
      </c>
      <c r="C26" s="209" t="s">
        <v>5233</v>
      </c>
      <c r="D26" s="214" t="s">
        <v>351</v>
      </c>
      <c r="E26" s="209" t="s">
        <v>5261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5262</v>
      </c>
      <c r="V26" s="209" t="str">
        <f>GlobBerMedDisc!AA10</f>
        <v/>
      </c>
      <c r="W26" s="209" t="s">
        <v>5263</v>
      </c>
      <c r="X26" s="209">
        <f>GlobBerMedDisc!AB10</f>
        <v>0</v>
      </c>
      <c r="Y26" s="209" t="s">
        <v>5264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86" t="str">
        <f t="shared" si="1"/>
        <v/>
      </c>
      <c r="C27" s="209" t="s">
        <v>5233</v>
      </c>
      <c r="D27" s="214" t="s">
        <v>500</v>
      </c>
      <c r="E27" s="209" t="s">
        <v>5261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5262</v>
      </c>
      <c r="V27" s="209" t="str">
        <f>GlobBerMedDisc!AA11</f>
        <v/>
      </c>
      <c r="W27" s="209" t="s">
        <v>5263</v>
      </c>
      <c r="X27" s="209">
        <f>GlobBerMedDisc!AB11</f>
        <v>0</v>
      </c>
      <c r="Y27" s="209" t="s">
        <v>5264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86" t="str">
        <f t="shared" si="1"/>
        <v/>
      </c>
      <c r="C28" s="209" t="s">
        <v>5233</v>
      </c>
      <c r="D28" s="214" t="s">
        <v>501</v>
      </c>
      <c r="E28" s="209" t="s">
        <v>5261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5262</v>
      </c>
      <c r="V28" s="209" t="str">
        <f>GlobBerMedDisc!AA12</f>
        <v/>
      </c>
      <c r="W28" s="209" t="s">
        <v>5263</v>
      </c>
      <c r="X28" s="209">
        <f>GlobBerMedDisc!AB12</f>
        <v>0</v>
      </c>
      <c r="Y28" s="209" t="s">
        <v>5264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86" t="str">
        <f t="shared" si="1"/>
        <v/>
      </c>
      <c r="C29" s="209" t="s">
        <v>5233</v>
      </c>
      <c r="D29" s="214" t="s">
        <v>502</v>
      </c>
      <c r="E29" s="209" t="s">
        <v>5261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5262</v>
      </c>
      <c r="V29" s="209" t="str">
        <f>GlobBerMedDisc!AA13</f>
        <v/>
      </c>
      <c r="W29" s="209" t="s">
        <v>5263</v>
      </c>
      <c r="X29" s="209">
        <f>GlobBerMedDisc!AB13</f>
        <v>0</v>
      </c>
      <c r="Y29" s="209" t="s">
        <v>5264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86" t="str">
        <f t="shared" si="1"/>
        <v/>
      </c>
      <c r="C30" s="209" t="s">
        <v>5233</v>
      </c>
      <c r="D30" s="214" t="s">
        <v>596</v>
      </c>
      <c r="E30" s="209" t="s">
        <v>5261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5262</v>
      </c>
      <c r="V30" s="209" t="str">
        <f>GlobBerMedDisc!AA14</f>
        <v/>
      </c>
      <c r="W30" s="209" t="s">
        <v>5263</v>
      </c>
      <c r="X30" s="209">
        <f>GlobBerMedDisc!AB14</f>
        <v>0</v>
      </c>
      <c r="Y30" s="209" t="s">
        <v>5264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86" t="str">
        <f t="shared" si="1"/>
        <v/>
      </c>
      <c r="C31" s="209" t="s">
        <v>5233</v>
      </c>
      <c r="D31" s="214" t="s">
        <v>597</v>
      </c>
      <c r="E31" s="209" t="s">
        <v>5261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5262</v>
      </c>
      <c r="V31" s="209" t="str">
        <f>GlobBerMedDisc!AA15</f>
        <v/>
      </c>
      <c r="W31" s="209" t="s">
        <v>5263</v>
      </c>
      <c r="X31" s="209">
        <f>GlobBerMedDisc!AB15</f>
        <v>0</v>
      </c>
      <c r="Y31" s="209" t="s">
        <v>5264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86" t="str">
        <f t="shared" si="1"/>
        <v/>
      </c>
      <c r="C32" s="209" t="s">
        <v>5233</v>
      </c>
      <c r="D32" s="214" t="s">
        <v>837</v>
      </c>
      <c r="E32" s="209" t="s">
        <v>5261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5262</v>
      </c>
      <c r="V32" s="209" t="str">
        <f>GlobBerMedDisc!AA16</f>
        <v/>
      </c>
      <c r="W32" s="209" t="s">
        <v>5263</v>
      </c>
      <c r="X32" s="209">
        <f>GlobBerMedDisc!AB16</f>
        <v>0</v>
      </c>
      <c r="Y32" s="209" t="s">
        <v>5264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86" t="str">
        <f t="shared" si="1"/>
        <v/>
      </c>
      <c r="C33" s="209" t="s">
        <v>5233</v>
      </c>
      <c r="D33" s="214" t="s">
        <v>851</v>
      </c>
      <c r="E33" s="209" t="s">
        <v>5261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5262</v>
      </c>
      <c r="V33" s="209" t="str">
        <f>GlobBerMedDisc!AA17</f>
        <v/>
      </c>
      <c r="W33" s="209" t="s">
        <v>5263</v>
      </c>
      <c r="X33" s="209">
        <f>GlobBerMedDisc!AB17</f>
        <v>0</v>
      </c>
      <c r="Y33" s="209" t="s">
        <v>5264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86" t="str">
        <f t="shared" si="1"/>
        <v/>
      </c>
      <c r="C34" s="209" t="s">
        <v>5233</v>
      </c>
      <c r="D34" s="214" t="s">
        <v>852</v>
      </c>
      <c r="E34" s="209" t="s">
        <v>5261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5262</v>
      </c>
      <c r="V34" s="209" t="str">
        <f>GlobBerMedDisc!AA18</f>
        <v/>
      </c>
      <c r="W34" s="209" t="s">
        <v>5263</v>
      </c>
      <c r="X34" s="209">
        <f>GlobBerMedDisc!AB18</f>
        <v>0</v>
      </c>
      <c r="Y34" s="209" t="s">
        <v>5264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86" t="str">
        <f t="shared" si="1"/>
        <v/>
      </c>
      <c r="C35" s="209" t="s">
        <v>5233</v>
      </c>
      <c r="D35" s="214" t="s">
        <v>853</v>
      </c>
      <c r="E35" s="209" t="s">
        <v>5261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5262</v>
      </c>
      <c r="V35" s="209" t="str">
        <f>GlobBerMedDisc!AA19</f>
        <v/>
      </c>
      <c r="W35" s="209" t="s">
        <v>5263</v>
      </c>
      <c r="X35" s="209">
        <f>GlobBerMedDisc!AB19</f>
        <v>0</v>
      </c>
      <c r="Y35" s="209" t="s">
        <v>5264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86" t="str">
        <f t="shared" si="1"/>
        <v/>
      </c>
      <c r="C36" s="209" t="s">
        <v>5233</v>
      </c>
      <c r="D36" s="214" t="s">
        <v>854</v>
      </c>
      <c r="E36" s="209" t="s">
        <v>5261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5262</v>
      </c>
      <c r="V36" s="209" t="str">
        <f>GlobBerMedDisc!AA20</f>
        <v/>
      </c>
      <c r="W36" s="209" t="s">
        <v>5263</v>
      </c>
      <c r="X36" s="209">
        <f>GlobBerMedDisc!AB20</f>
        <v>0</v>
      </c>
      <c r="Y36" s="209" t="s">
        <v>5264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86" t="str">
        <f t="shared" si="1"/>
        <v/>
      </c>
      <c r="C37" s="209" t="s">
        <v>5233</v>
      </c>
      <c r="D37" s="214" t="s">
        <v>855</v>
      </c>
      <c r="E37" s="209" t="s">
        <v>5261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5262</v>
      </c>
      <c r="V37" s="209" t="str">
        <f>GlobBerMedDisc!AA21</f>
        <v/>
      </c>
      <c r="W37" s="209" t="s">
        <v>5263</v>
      </c>
      <c r="X37" s="209">
        <f>GlobBerMedDisc!AB21</f>
        <v>0</v>
      </c>
      <c r="Y37" s="209" t="s">
        <v>5264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86" t="str">
        <f t="shared" si="1"/>
        <v/>
      </c>
      <c r="C38" s="209" t="s">
        <v>5233</v>
      </c>
      <c r="D38" s="214" t="s">
        <v>856</v>
      </c>
      <c r="E38" s="209" t="s">
        <v>5261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5262</v>
      </c>
      <c r="V38" s="209" t="str">
        <f>GlobBerMedDisc!AA22</f>
        <v/>
      </c>
      <c r="W38" s="209" t="s">
        <v>5263</v>
      </c>
      <c r="X38" s="209">
        <f>GlobBerMedDisc!AB22</f>
        <v>0</v>
      </c>
      <c r="Y38" s="209" t="s">
        <v>5264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86" t="str">
        <f t="shared" si="1"/>
        <v/>
      </c>
      <c r="C39" s="209" t="s">
        <v>5233</v>
      </c>
      <c r="D39" s="214" t="s">
        <v>857</v>
      </c>
      <c r="E39" s="209" t="s">
        <v>5261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5262</v>
      </c>
      <c r="V39" s="209" t="str">
        <f>GlobBerMedDisc!AA23</f>
        <v/>
      </c>
      <c r="W39" s="209" t="s">
        <v>5263</v>
      </c>
      <c r="X39" s="209">
        <f>GlobBerMedDisc!AB23</f>
        <v>0</v>
      </c>
      <c r="Y39" s="209" t="s">
        <v>5264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86" t="str">
        <f t="shared" si="1"/>
        <v/>
      </c>
      <c r="C40" s="209" t="s">
        <v>5233</v>
      </c>
      <c r="D40" s="214" t="s">
        <v>858</v>
      </c>
      <c r="E40" s="209" t="s">
        <v>5261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5262</v>
      </c>
      <c r="V40" s="209" t="str">
        <f>GlobBerMedDisc!AA24</f>
        <v/>
      </c>
      <c r="W40" s="209" t="s">
        <v>5263</v>
      </c>
      <c r="X40" s="209">
        <f>GlobBerMedDisc!AB24</f>
        <v>0</v>
      </c>
      <c r="Y40" s="209" t="s">
        <v>5264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86" t="str">
        <f t="shared" si="1"/>
        <v/>
      </c>
      <c r="C41" s="209" t="s">
        <v>5233</v>
      </c>
      <c r="D41" s="214" t="s">
        <v>859</v>
      </c>
      <c r="E41" s="209" t="s">
        <v>5261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5262</v>
      </c>
      <c r="V41" s="209" t="str">
        <f>GlobBerMedDisc!AA25</f>
        <v/>
      </c>
      <c r="W41" s="209" t="s">
        <v>5263</v>
      </c>
      <c r="X41" s="209">
        <f>GlobBerMedDisc!AB25</f>
        <v>0</v>
      </c>
      <c r="Y41" s="209" t="s">
        <v>5264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86" t="str">
        <f t="shared" si="1"/>
        <v/>
      </c>
      <c r="C42" s="209" t="s">
        <v>5233</v>
      </c>
      <c r="D42" s="214" t="s">
        <v>860</v>
      </c>
      <c r="E42" s="209" t="s">
        <v>5261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5262</v>
      </c>
      <c r="V42" s="209" t="str">
        <f>GlobBerMedDisc!AA26</f>
        <v/>
      </c>
      <c r="W42" s="209" t="s">
        <v>5263</v>
      </c>
      <c r="X42" s="209">
        <f>GlobBerMedDisc!AB26</f>
        <v>0</v>
      </c>
      <c r="Y42" s="209" t="s">
        <v>5264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86" t="str">
        <f t="shared" si="1"/>
        <v/>
      </c>
      <c r="C43" s="209" t="s">
        <v>5233</v>
      </c>
      <c r="D43" s="214" t="s">
        <v>861</v>
      </c>
      <c r="E43" s="209" t="s">
        <v>5261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5262</v>
      </c>
      <c r="V43" s="209" t="str">
        <f>GlobBerMedDisc!AA27</f>
        <v/>
      </c>
      <c r="W43" s="209" t="s">
        <v>5263</v>
      </c>
      <c r="X43" s="209">
        <f>GlobBerMedDisc!AB27</f>
        <v>0</v>
      </c>
      <c r="Y43" s="209" t="s">
        <v>5264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86" t="str">
        <f t="shared" si="1"/>
        <v/>
      </c>
      <c r="C44" s="209" t="s">
        <v>5233</v>
      </c>
      <c r="D44" s="214" t="s">
        <v>862</v>
      </c>
      <c r="E44" s="209" t="s">
        <v>5261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5262</v>
      </c>
      <c r="V44" s="209" t="str">
        <f>GlobBerMedDisc!AA28</f>
        <v/>
      </c>
      <c r="W44" s="209" t="s">
        <v>5263</v>
      </c>
      <c r="X44" s="209">
        <f>GlobBerMedDisc!AB28</f>
        <v>0</v>
      </c>
      <c r="Y44" s="209" t="s">
        <v>5264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86" t="str">
        <f t="shared" si="1"/>
        <v/>
      </c>
      <c r="C45" s="209" t="s">
        <v>5233</v>
      </c>
      <c r="D45" s="214" t="s">
        <v>5234</v>
      </c>
      <c r="E45" s="209" t="s">
        <v>5261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5262</v>
      </c>
      <c r="V45" s="209" t="str">
        <f>GlobBerMedDisc!AA29</f>
        <v/>
      </c>
      <c r="W45" s="209" t="s">
        <v>5263</v>
      </c>
      <c r="X45" s="209">
        <f>GlobBerMedDisc!AB29</f>
        <v>0</v>
      </c>
      <c r="Y45" s="209" t="s">
        <v>5264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86" t="str">
        <f t="shared" si="1"/>
        <v/>
      </c>
      <c r="C46" s="209" t="s">
        <v>5233</v>
      </c>
      <c r="D46" s="214" t="s">
        <v>5235</v>
      </c>
      <c r="E46" s="209" t="s">
        <v>5261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5262</v>
      </c>
      <c r="V46" s="209" t="str">
        <f>GlobBerMedDisc!AA30</f>
        <v/>
      </c>
      <c r="W46" s="209" t="s">
        <v>5263</v>
      </c>
      <c r="X46" s="209">
        <f>GlobBerMedDisc!AB30</f>
        <v>0</v>
      </c>
      <c r="Y46" s="209" t="s">
        <v>5264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86" t="str">
        <f t="shared" si="1"/>
        <v/>
      </c>
      <c r="C47" s="209" t="s">
        <v>5233</v>
      </c>
      <c r="D47" s="214" t="s">
        <v>5236</v>
      </c>
      <c r="E47" s="209" t="s">
        <v>5261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5262</v>
      </c>
      <c r="V47" s="209" t="str">
        <f>GlobBerMedDisc!AA31</f>
        <v/>
      </c>
      <c r="W47" s="209" t="s">
        <v>5263</v>
      </c>
      <c r="X47" s="209">
        <f>GlobBerMedDisc!AB31</f>
        <v>0</v>
      </c>
      <c r="Y47" s="209" t="s">
        <v>5264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86" t="str">
        <f>ConcatenateKeyValue(E48:T48,"||","^^")</f>
        <v/>
      </c>
      <c r="C48" s="209" t="s">
        <v>5238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86" t="str">
        <f t="shared" ref="B49:B67" si="2">ConcatenateKeyValue(E49:T49,"||","^^")</f>
        <v/>
      </c>
      <c r="C49" s="209" t="s">
        <v>5238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86" t="str">
        <f t="shared" si="2"/>
        <v/>
      </c>
      <c r="C50" s="209" t="s">
        <v>5238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86" t="str">
        <f t="shared" si="2"/>
        <v/>
      </c>
      <c r="C51" s="209" t="s">
        <v>5238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86" t="str">
        <f t="shared" si="2"/>
        <v/>
      </c>
      <c r="C52" s="209" t="s">
        <v>5238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86" t="str">
        <f t="shared" si="2"/>
        <v/>
      </c>
      <c r="C53" s="209" t="s">
        <v>5238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86" t="str">
        <f t="shared" si="2"/>
        <v/>
      </c>
      <c r="C54" s="209" t="s">
        <v>5238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86" t="str">
        <f t="shared" si="2"/>
        <v/>
      </c>
      <c r="C55" s="209" t="s">
        <v>5238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86" t="str">
        <f t="shared" si="2"/>
        <v/>
      </c>
      <c r="C56" s="209" t="s">
        <v>5238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86" t="str">
        <f t="shared" si="2"/>
        <v/>
      </c>
      <c r="C57" s="209" t="s">
        <v>5238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86" t="str">
        <f t="shared" si="2"/>
        <v/>
      </c>
      <c r="C58" s="209" t="s">
        <v>5238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86" t="str">
        <f t="shared" si="2"/>
        <v/>
      </c>
      <c r="C59" s="209" t="s">
        <v>5238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86" t="str">
        <f t="shared" si="2"/>
        <v/>
      </c>
      <c r="C60" s="209" t="s">
        <v>5238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86" t="str">
        <f t="shared" si="2"/>
        <v/>
      </c>
      <c r="C61" s="209" t="s">
        <v>5238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86" t="str">
        <f t="shared" si="2"/>
        <v/>
      </c>
      <c r="C62" s="209" t="s">
        <v>5238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86" t="str">
        <f t="shared" si="2"/>
        <v/>
      </c>
      <c r="C63" s="209" t="s">
        <v>5238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786" t="str">
        <f t="shared" si="2"/>
        <v/>
      </c>
      <c r="C64" s="209" t="s">
        <v>5238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786" t="str">
        <f t="shared" si="2"/>
        <v/>
      </c>
      <c r="C65" s="209" t="s">
        <v>5238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86" t="str">
        <f t="shared" si="2"/>
        <v/>
      </c>
      <c r="C66" s="209" t="s">
        <v>5238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786" t="str">
        <f t="shared" si="2"/>
        <v/>
      </c>
      <c r="C67" s="209" t="s">
        <v>5238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786" t="str">
        <f>PedBerEnt!K3</f>
        <v>Enteraal voeding</v>
      </c>
      <c r="C68" s="209" t="s">
        <v>5312</v>
      </c>
      <c r="D68" s="214" t="s">
        <v>5330</v>
      </c>
      <c r="M68" s="209"/>
    </row>
    <row r="69" spans="1:20" x14ac:dyDescent="0.2">
      <c r="A69" s="209" t="str">
        <f t="shared" si="3"/>
        <v>PedEnt.Voed</v>
      </c>
      <c r="B69" s="786" t="str">
        <f>ConcatenateKeyValue(E69:L69,"||","^^")</f>
        <v/>
      </c>
      <c r="C69" s="209" t="s">
        <v>5312</v>
      </c>
      <c r="D69" s="214" t="s">
        <v>5329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5260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86" t="str">
        <f t="shared" ref="B70:B72" si="4">ConcatenateKeyValue(E70:L70,"||","^^")</f>
        <v/>
      </c>
      <c r="C70" s="209" t="s">
        <v>5312</v>
      </c>
      <c r="D70" s="214" t="s">
        <v>5313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5260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86" t="str">
        <f t="shared" si="4"/>
        <v/>
      </c>
      <c r="C71" s="209" t="s">
        <v>5312</v>
      </c>
      <c r="D71" s="214" t="s">
        <v>5314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5260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786" t="str">
        <f t="shared" si="4"/>
        <v/>
      </c>
      <c r="C72" s="209" t="s">
        <v>5312</v>
      </c>
      <c r="D72" s="214" t="s">
        <v>5314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5260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86" t="str">
        <f>IF(_Ped_Ent_Opm=0,"",_Ped_Ent_Opm)</f>
        <v/>
      </c>
      <c r="C73" s="209" t="s">
        <v>5312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86" t="str">
        <f t="shared" ref="B74:B80" si="6">ConcatenateKeyValue(E74:J74,"||","^^")</f>
        <v>Ingred^^::##::</v>
      </c>
      <c r="C74" s="209" t="s">
        <v>5252</v>
      </c>
      <c r="D74" s="214" t="s">
        <v>5253</v>
      </c>
      <c r="E74" s="209" t="s">
        <v>5259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5260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86" t="str">
        <f t="shared" si="6"/>
        <v/>
      </c>
      <c r="C75" s="209" t="s">
        <v>5252</v>
      </c>
      <c r="D75" s="214" t="s">
        <v>5254</v>
      </c>
      <c r="E75" s="209" t="s">
        <v>5259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5260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86" t="str">
        <f t="shared" si="6"/>
        <v/>
      </c>
      <c r="C76" s="209" t="s">
        <v>5252</v>
      </c>
      <c r="D76" s="214" t="s">
        <v>5255</v>
      </c>
      <c r="E76" s="209" t="s">
        <v>5259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5260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86" t="str">
        <f t="shared" si="6"/>
        <v/>
      </c>
      <c r="C77" s="209" t="s">
        <v>5252</v>
      </c>
      <c r="D77" s="214" t="s">
        <v>240</v>
      </c>
      <c r="E77" s="209" t="s">
        <v>5259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5260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86" t="str">
        <f t="shared" si="6"/>
        <v/>
      </c>
      <c r="C78" s="209" t="s">
        <v>5252</v>
      </c>
      <c r="D78" s="214" t="s">
        <v>5256</v>
      </c>
      <c r="E78" s="209" t="s">
        <v>5259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5260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86" t="str">
        <f t="shared" si="6"/>
        <v/>
      </c>
      <c r="C79" s="209" t="s">
        <v>5252</v>
      </c>
      <c r="D79" s="214" t="s">
        <v>5257</v>
      </c>
      <c r="E79" s="209" t="s">
        <v>5259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5260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86" t="str">
        <f t="shared" si="6"/>
        <v/>
      </c>
      <c r="C80" s="209" t="s">
        <v>5252</v>
      </c>
      <c r="D80" s="214" t="s">
        <v>5258</v>
      </c>
      <c r="E80" s="209" t="s">
        <v>5259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5260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86" t="str">
        <f>IF(_Ped_TPN_Opm=0,"",_Ped_TPN_Opm)</f>
        <v/>
      </c>
      <c r="C81" s="209" t="s">
        <v>5252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86" t="str">
        <f>IF(PedBerIVenPM!I2=0,"",PedBerIVenPM!I2)</f>
        <v/>
      </c>
      <c r="C82" s="209" t="s">
        <v>5239</v>
      </c>
      <c r="D82" s="214" t="s">
        <v>343</v>
      </c>
    </row>
    <row r="83" spans="1:9" x14ac:dyDescent="0.2">
      <c r="A83" s="236" t="str">
        <f t="shared" si="5"/>
        <v>PedAccess.02</v>
      </c>
      <c r="B83" s="786" t="str">
        <f>IF(PedBerIVenPM!I3=0,"",PedBerIVenPM!I3)</f>
        <v/>
      </c>
      <c r="C83" s="209" t="s">
        <v>5239</v>
      </c>
      <c r="D83" s="214" t="s">
        <v>344</v>
      </c>
    </row>
    <row r="84" spans="1:9" x14ac:dyDescent="0.2">
      <c r="A84" s="236" t="str">
        <f t="shared" si="5"/>
        <v>PedAccess.03</v>
      </c>
      <c r="B84" s="786" t="str">
        <f>IF(PedBerIVenPM!I4=0,"",PedBerIVenPM!I4)</f>
        <v/>
      </c>
      <c r="C84" s="209" t="s">
        <v>5239</v>
      </c>
      <c r="D84" s="214" t="s">
        <v>345</v>
      </c>
    </row>
    <row r="85" spans="1:9" x14ac:dyDescent="0.2">
      <c r="A85" s="236" t="str">
        <f t="shared" si="5"/>
        <v>PedAccess.04</v>
      </c>
      <c r="B85" s="786" t="str">
        <f>IF(PedBerIVenPM!I5=0,"",PedBerIVenPM!I5)</f>
        <v/>
      </c>
      <c r="C85" s="209" t="s">
        <v>5239</v>
      </c>
      <c r="D85" s="214" t="s">
        <v>346</v>
      </c>
    </row>
    <row r="86" spans="1:9" x14ac:dyDescent="0.2">
      <c r="A86" s="236" t="str">
        <f t="shared" si="5"/>
        <v>PedAccess.05</v>
      </c>
      <c r="B86" s="786" t="str">
        <f>IF(PedBerIVenPM!I6=0,"",PedBerIVenPM!I6)</f>
        <v/>
      </c>
      <c r="C86" s="209" t="s">
        <v>5239</v>
      </c>
      <c r="D86" s="214" t="s">
        <v>347</v>
      </c>
    </row>
    <row r="87" spans="1:9" x14ac:dyDescent="0.2">
      <c r="A87" s="236" t="str">
        <f t="shared" si="5"/>
        <v>PedAccess.06</v>
      </c>
      <c r="B87" s="786" t="str">
        <f>IF(PedBerIVenPM!I7=0,"",PedBerIVenPM!I7)</f>
        <v/>
      </c>
      <c r="C87" s="209" t="s">
        <v>5239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786" t="str">
        <f>IF(PedBerIVenPM!I9=0,"",PedBerIVenPM!I9)</f>
        <v/>
      </c>
      <c r="C88" s="209" t="s">
        <v>5239</v>
      </c>
      <c r="D88" s="214" t="s">
        <v>356</v>
      </c>
    </row>
    <row r="89" spans="1:9" x14ac:dyDescent="0.2">
      <c r="A89" s="236" t="str">
        <f t="shared" si="5"/>
        <v>PedPM.01</v>
      </c>
      <c r="B89" s="786" t="str">
        <f>PedBerIVenPM!I21</f>
        <v/>
      </c>
      <c r="C89" s="209" t="s">
        <v>5240</v>
      </c>
      <c r="D89" s="214" t="s">
        <v>343</v>
      </c>
    </row>
    <row r="90" spans="1:9" x14ac:dyDescent="0.2">
      <c r="A90" s="236" t="str">
        <f t="shared" si="5"/>
        <v>PedLab.Opname</v>
      </c>
      <c r="B90" s="787" t="str">
        <f>IF(PedBerLab!B39="","",PedBerLab!A39&amp;"::"&amp;PedBerLab!B39)</f>
        <v/>
      </c>
      <c r="C90" s="209" t="s">
        <v>5241</v>
      </c>
      <c r="D90" s="209" t="s">
        <v>301</v>
      </c>
    </row>
    <row r="91" spans="1:9" x14ac:dyDescent="0.2">
      <c r="A91" s="236" t="str">
        <f t="shared" si="5"/>
        <v>PedLab.14:00uur</v>
      </c>
      <c r="B91" s="787" t="str">
        <f>IF(PedBerLab!B40="","",PedBerLab!A40&amp;"::"&amp;PedBerLab!B40)</f>
        <v/>
      </c>
      <c r="C91" s="209" t="s">
        <v>5241</v>
      </c>
      <c r="D91" s="209" t="s">
        <v>5249</v>
      </c>
    </row>
    <row r="92" spans="1:9" x14ac:dyDescent="0.2">
      <c r="A92" s="236" t="str">
        <f t="shared" si="5"/>
        <v>PedLab.19:00uur</v>
      </c>
      <c r="B92" s="787" t="str">
        <f>IF(PedBerLab!B41="","",PedBerLab!A41&amp;"::"&amp;PedBerLab!B41)</f>
        <v/>
      </c>
      <c r="C92" s="209" t="s">
        <v>5241</v>
      </c>
      <c r="D92" s="209" t="s">
        <v>5248</v>
      </c>
    </row>
    <row r="93" spans="1:9" x14ac:dyDescent="0.2">
      <c r="A93" s="236" t="str">
        <f t="shared" si="5"/>
        <v>PedLab.24:00uur</v>
      </c>
      <c r="B93" s="787" t="str">
        <f>IF(PedBerLab!B42="","",PedBerLab!A42&amp;"::"&amp;PedBerLab!B42)</f>
        <v/>
      </c>
      <c r="C93" s="209" t="s">
        <v>5241</v>
      </c>
      <c r="D93" s="209" t="s">
        <v>5250</v>
      </c>
    </row>
    <row r="94" spans="1:9" x14ac:dyDescent="0.2">
      <c r="A94" s="236" t="str">
        <f t="shared" si="5"/>
        <v>PedLab.06:00uur</v>
      </c>
      <c r="B94" s="787" t="str">
        <f>IF(PedBerLab!B43="","",PedBerLab!A43&amp;"::"&amp;PedBerLab!B43)</f>
        <v/>
      </c>
      <c r="C94" s="209" t="s">
        <v>5241</v>
      </c>
      <c r="D94" s="209" t="s">
        <v>5251</v>
      </c>
    </row>
    <row r="95" spans="1:9" x14ac:dyDescent="0.2">
      <c r="A95" s="236" t="str">
        <f t="shared" si="5"/>
        <v>PedLab.Opm</v>
      </c>
      <c r="B95" s="786" t="str">
        <f>IF(_Ped_Lab_Opm=0,"",_Ped_Lab_Opm)</f>
        <v/>
      </c>
      <c r="C95" s="209" t="s">
        <v>5241</v>
      </c>
      <c r="D95" s="209" t="s">
        <v>356</v>
      </c>
    </row>
    <row r="96" spans="1:9" x14ac:dyDescent="0.2">
      <c r="A96" s="236" t="str">
        <f t="shared" si="5"/>
        <v>PedAfspr.01</v>
      </c>
      <c r="B96" s="786" t="str">
        <f>IF(PedBerAfspr!B47=0,"",PedBerAfspr!A47&amp;": "&amp;PedBerAfspr!B47)</f>
        <v xml:space="preserve">Controles: </v>
      </c>
      <c r="C96" s="209" t="s">
        <v>5242</v>
      </c>
      <c r="D96" s="211" t="s">
        <v>343</v>
      </c>
    </row>
    <row r="97" spans="1:10" x14ac:dyDescent="0.2">
      <c r="A97" s="236" t="str">
        <f t="shared" si="5"/>
        <v>PedAfspr.02</v>
      </c>
      <c r="B97" s="786" t="str">
        <f>IF(PedBerAfspr!B48=0,"",PedBerAfspr!A48&amp;": "&amp;PedBerAfspr!B48)</f>
        <v xml:space="preserve">Onderzoek: </v>
      </c>
      <c r="C97" s="209" t="s">
        <v>5242</v>
      </c>
      <c r="D97" s="211" t="s">
        <v>344</v>
      </c>
    </row>
    <row r="98" spans="1:10" x14ac:dyDescent="0.2">
      <c r="A98" s="236" t="str">
        <f t="shared" si="5"/>
        <v>PedAfspr.03</v>
      </c>
      <c r="B98" s="786" t="str">
        <f>IF(PedBerAfspr!B49=0,"",PedBerAfspr!A49&amp;": "&amp;PedBerAfspr!B49)</f>
        <v xml:space="preserve">Instellingen: </v>
      </c>
      <c r="C98" s="209" t="s">
        <v>5242</v>
      </c>
      <c r="D98" s="211" t="s">
        <v>345</v>
      </c>
    </row>
    <row r="99" spans="1:10" x14ac:dyDescent="0.2">
      <c r="A99" s="236" t="str">
        <f t="shared" si="5"/>
        <v>PedAfspr.04</v>
      </c>
      <c r="B99" s="786" t="str">
        <f>IF(PedBerAfspr!B50=0,"",PedBerAfspr!A50&amp;": "&amp;PedBerAfspr!B50)</f>
        <v xml:space="preserve">Overig:  - </v>
      </c>
      <c r="C99" s="209" t="s">
        <v>5242</v>
      </c>
      <c r="D99" s="211" t="s">
        <v>346</v>
      </c>
    </row>
    <row r="100" spans="1:10" x14ac:dyDescent="0.2">
      <c r="A100" s="236" t="str">
        <f t="shared" si="5"/>
        <v>PedIntake.Energie</v>
      </c>
      <c r="B100" s="786" t="str">
        <f>PedBerTot!M3</f>
        <v>0 kcal/kg</v>
      </c>
      <c r="C100" s="209" t="s">
        <v>5243</v>
      </c>
      <c r="D100" s="348" t="s">
        <v>424</v>
      </c>
    </row>
    <row r="101" spans="1:10" x14ac:dyDescent="0.2">
      <c r="A101" s="236" t="str">
        <f t="shared" si="5"/>
        <v>PedIntake.Vocht</v>
      </c>
      <c r="B101" s="786" t="str">
        <f>PedBerTot!M4</f>
        <v>0 ml/kg</v>
      </c>
      <c r="C101" s="209" t="s">
        <v>5243</v>
      </c>
      <c r="D101" s="348" t="s">
        <v>5244</v>
      </c>
      <c r="J101" s="209"/>
    </row>
    <row r="102" spans="1:10" x14ac:dyDescent="0.2">
      <c r="A102" s="236" t="str">
        <f t="shared" si="5"/>
        <v>PedIntake.Glucose</v>
      </c>
      <c r="B102" s="786" t="str">
        <f>PedBerTot!M5</f>
        <v>0 gram/kg</v>
      </c>
      <c r="C102" s="209" t="s">
        <v>5243</v>
      </c>
      <c r="D102" s="348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86" t="str">
        <f>PedBerTot!M6</f>
        <v>0 gram/kg</v>
      </c>
      <c r="C103" s="209" t="s">
        <v>5243</v>
      </c>
      <c r="D103" s="348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86" t="str">
        <f>PedBerTot!M7</f>
        <v>0 gram/kg</v>
      </c>
      <c r="C104" s="209" t="s">
        <v>5243</v>
      </c>
      <c r="D104" s="348" t="s">
        <v>5258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86" t="str">
        <f>PedBerTot!M8</f>
        <v>0 mmol/kg</v>
      </c>
      <c r="C105" s="209" t="s">
        <v>5243</v>
      </c>
      <c r="D105" s="348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86" t="str">
        <f>PedBerTot!M9</f>
        <v>0 mmol/kg</v>
      </c>
      <c r="C106" s="209" t="s">
        <v>5243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86" t="str">
        <f>PedBerTot!M10</f>
        <v>0 mmol/kg</v>
      </c>
      <c r="C107" s="209" t="s">
        <v>5243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86" t="str">
        <f>PedBerTot!M11</f>
        <v>0 mmol/kg</v>
      </c>
      <c r="C108" s="209" t="s">
        <v>5243</v>
      </c>
      <c r="D108" s="209" t="s">
        <v>169</v>
      </c>
    </row>
    <row r="109" spans="1:10" x14ac:dyDescent="0.2">
      <c r="A109" s="236" t="str">
        <f t="shared" si="5"/>
        <v>PedIntake.Fosfaat</v>
      </c>
      <c r="B109" s="786" t="str">
        <f>PedBerTot!M12</f>
        <v>0 mmol/kg</v>
      </c>
      <c r="C109" s="209" t="s">
        <v>5243</v>
      </c>
      <c r="D109" s="209" t="s">
        <v>170</v>
      </c>
    </row>
    <row r="110" spans="1:10" x14ac:dyDescent="0.2">
      <c r="A110" s="236" t="str">
        <f t="shared" si="5"/>
        <v>PedIntake.Magnesium</v>
      </c>
      <c r="B110" s="786" t="str">
        <f>PedBerTot!M13</f>
        <v>0 mmol/kg</v>
      </c>
      <c r="C110" s="209" t="s">
        <v>5243</v>
      </c>
      <c r="D110" s="209" t="s">
        <v>246</v>
      </c>
    </row>
    <row r="111" spans="1:10" x14ac:dyDescent="0.2">
      <c r="A111" s="236" t="str">
        <f t="shared" si="5"/>
        <v>PedIntake.Ijzer</v>
      </c>
      <c r="B111" s="786" t="str">
        <f>PedBerTot!M14</f>
        <v>0 mmol/kg</v>
      </c>
      <c r="C111" s="209" t="s">
        <v>5243</v>
      </c>
      <c r="D111" s="209" t="s">
        <v>5247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86" t="str">
        <f>PedBerTot!M15</f>
        <v>0 IE/kg</v>
      </c>
      <c r="C112" s="209" t="s">
        <v>5243</v>
      </c>
      <c r="D112" s="209" t="s">
        <v>5246</v>
      </c>
    </row>
    <row r="113" spans="1:24" s="208" customFormat="1" x14ac:dyDescent="0.2">
      <c r="A113" s="236" t="str">
        <f t="shared" si="5"/>
        <v>NeoEnt.Extra</v>
      </c>
      <c r="B113" s="786" t="str">
        <f>IF(Var_Neo_InfB_Ent_Extra=2,"Nee",IF(Var_Neo_InfB_Ent_Extra=1,"Ja",""))</f>
        <v>Nee</v>
      </c>
      <c r="C113" s="209" t="s">
        <v>5326</v>
      </c>
      <c r="D113" s="209" t="s">
        <v>5265</v>
      </c>
    </row>
    <row r="114" spans="1:24" s="208" customFormat="1" x14ac:dyDescent="0.2">
      <c r="A114" s="236" t="str">
        <f t="shared" si="5"/>
        <v>NeoEnt.Voed.01</v>
      </c>
      <c r="B114" s="786" t="str">
        <f>ConcatenateKeyValue(E114:J114,"||","^^")</f>
        <v/>
      </c>
      <c r="C114" s="209" t="s">
        <v>5326</v>
      </c>
      <c r="D114" s="214" t="s">
        <v>5315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86" t="str">
        <f t="shared" ref="B115:B125" si="7">ConcatenateKeyValue(E115:J115,"||","^^")</f>
        <v>Naam^^Nutrilon Nenatal BMF</v>
      </c>
      <c r="C115" s="209" t="s">
        <v>5326</v>
      </c>
      <c r="D115" s="214" t="s">
        <v>5316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86" t="str">
        <f t="shared" si="7"/>
        <v>Naam^^BMF||Hoev^^0 gram</v>
      </c>
      <c r="C116" s="209" t="s">
        <v>5326</v>
      </c>
      <c r="D116" s="214" t="s">
        <v>5317</v>
      </c>
      <c r="E116" s="209" t="s">
        <v>363</v>
      </c>
      <c r="F116" s="209" t="s">
        <v>5305</v>
      </c>
      <c r="G116" s="209" t="s">
        <v>5269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786" t="str">
        <f t="shared" si="7"/>
        <v/>
      </c>
      <c r="C117" s="209" t="s">
        <v>5326</v>
      </c>
      <c r="D117" s="214" t="s">
        <v>5318</v>
      </c>
      <c r="E117" s="209" t="s">
        <v>363</v>
      </c>
      <c r="F117" s="209" t="str">
        <f>NeoBerInfB!P12</f>
        <v/>
      </c>
      <c r="G117" s="209" t="s">
        <v>5269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86" t="str">
        <f t="shared" si="7"/>
        <v/>
      </c>
      <c r="C118" s="209" t="s">
        <v>5326</v>
      </c>
      <c r="D118" s="214" t="s">
        <v>5319</v>
      </c>
      <c r="E118" s="209" t="s">
        <v>363</v>
      </c>
      <c r="F118" s="209" t="str">
        <f>NeoBerInfB!P13</f>
        <v/>
      </c>
      <c r="G118" s="209" t="s">
        <v>5269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86" t="str">
        <f t="shared" si="7"/>
        <v/>
      </c>
      <c r="C119" s="209" t="s">
        <v>5326</v>
      </c>
      <c r="D119" s="214" t="s">
        <v>5320</v>
      </c>
      <c r="E119" s="209" t="s">
        <v>363</v>
      </c>
      <c r="F119" s="209" t="str">
        <f>NeoBerInfB!P14</f>
        <v/>
      </c>
      <c r="G119" s="209" t="s">
        <v>5269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86" t="str">
        <f t="shared" si="7"/>
        <v/>
      </c>
      <c r="C120" s="209" t="s">
        <v>5326</v>
      </c>
      <c r="D120" s="214" t="s">
        <v>5321</v>
      </c>
      <c r="E120" s="209" t="s">
        <v>363</v>
      </c>
      <c r="F120" s="209" t="str">
        <f>NeoBerInfB!P15</f>
        <v/>
      </c>
      <c r="G120" s="209" t="s">
        <v>5269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86" t="str">
        <f t="shared" si="7"/>
        <v/>
      </c>
      <c r="C121" s="209" t="s">
        <v>5326</v>
      </c>
      <c r="D121" s="214" t="s">
        <v>5322</v>
      </c>
      <c r="E121" s="209" t="s">
        <v>363</v>
      </c>
      <c r="F121" s="209" t="str">
        <f>NeoBerInfB!P16</f>
        <v/>
      </c>
      <c r="G121" s="209" t="s">
        <v>5269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86" t="str">
        <f t="shared" si="7"/>
        <v/>
      </c>
      <c r="C122" s="209" t="s">
        <v>5326</v>
      </c>
      <c r="D122" s="214" t="s">
        <v>5323</v>
      </c>
      <c r="E122" s="209" t="s">
        <v>363</v>
      </c>
      <c r="F122" s="209" t="str">
        <f>NeoBerInfB!P17</f>
        <v/>
      </c>
      <c r="G122" s="209" t="s">
        <v>5269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86" t="str">
        <f t="shared" si="7"/>
        <v/>
      </c>
      <c r="C123" s="209" t="s">
        <v>5326</v>
      </c>
      <c r="D123" s="214" t="s">
        <v>5324</v>
      </c>
      <c r="E123" s="209" t="s">
        <v>363</v>
      </c>
      <c r="F123" s="209" t="str">
        <f>NeoBerInfB!P18</f>
        <v/>
      </c>
      <c r="G123" s="209" t="s">
        <v>5269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86" t="str">
        <f t="shared" si="7"/>
        <v/>
      </c>
      <c r="C124" s="209" t="s">
        <v>5326</v>
      </c>
      <c r="D124" s="214" t="s">
        <v>5325</v>
      </c>
      <c r="E124" s="209" t="s">
        <v>363</v>
      </c>
      <c r="F124" s="209" t="str">
        <f>NeoBerInfB!P19</f>
        <v/>
      </c>
      <c r="G124" s="209" t="s">
        <v>5269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86" t="str">
        <f t="shared" si="7"/>
        <v>Naam^^Arterielijn: 12 ml NaCl 0,45% + hep. (5EH/ml)</v>
      </c>
      <c r="C125" s="209" t="s">
        <v>5266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5265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86" t="str">
        <f>ConcatenateKeyValue(E126:X126,"||","^^")</f>
        <v/>
      </c>
      <c r="C126" s="209" t="s">
        <v>5267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5265</v>
      </c>
      <c r="V126" s="209" t="str">
        <f>IF(AND(F126&lt;&gt;"",NeoBerInfB!I23),"Extra","")</f>
        <v/>
      </c>
      <c r="W126" s="209" t="s">
        <v>5264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86" t="str">
        <f t="shared" ref="B127:B135" si="8">ConcatenateKeyValue(E127:X127,"||","^^")</f>
        <v/>
      </c>
      <c r="C127" s="209" t="s">
        <v>5267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5265</v>
      </c>
      <c r="V127" s="209" t="str">
        <f>IF(AND(F127&lt;&gt;"",NeoBerInfB!I24),"Extra","")</f>
        <v/>
      </c>
      <c r="W127" s="209" t="s">
        <v>5264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86" t="str">
        <f t="shared" si="8"/>
        <v/>
      </c>
      <c r="C128" s="209" t="s">
        <v>5267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5265</v>
      </c>
      <c r="V128" s="209" t="str">
        <f>IF(AND(F128&lt;&gt;"",NeoBerInfB!I25),"Extra","")</f>
        <v/>
      </c>
      <c r="W128" s="209" t="s">
        <v>5264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86" t="str">
        <f t="shared" si="8"/>
        <v/>
      </c>
      <c r="C129" s="209" t="s">
        <v>5267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5265</v>
      </c>
      <c r="V129" s="209" t="str">
        <f>IF(AND(F129&lt;&gt;"",NeoBerInfB!I26),"Extra","")</f>
        <v/>
      </c>
      <c r="W129" s="209" t="s">
        <v>5264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86" t="str">
        <f t="shared" si="8"/>
        <v/>
      </c>
      <c r="C130" s="209" t="s">
        <v>5267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5265</v>
      </c>
      <c r="V130" s="209" t="str">
        <f>IF(AND(F130&lt;&gt;"",NeoBerInfB!I27),"Extra","")</f>
        <v/>
      </c>
      <c r="W130" s="209" t="s">
        <v>5264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86" t="str">
        <f t="shared" si="8"/>
        <v/>
      </c>
      <c r="C131" s="209" t="s">
        <v>5267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5265</v>
      </c>
      <c r="V131" s="209" t="str">
        <f>IF(AND(F131&lt;&gt;"",NeoBerInfB!I28),"Extra","")</f>
        <v/>
      </c>
      <c r="W131" s="209" t="s">
        <v>5264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86" t="str">
        <f t="shared" si="8"/>
        <v/>
      </c>
      <c r="C132" s="209" t="s">
        <v>5267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5265</v>
      </c>
      <c r="V132" s="209" t="str">
        <f>IF(AND(F132&lt;&gt;"",NeoBerInfB!I29),"Extra","")</f>
        <v/>
      </c>
      <c r="W132" s="209" t="s">
        <v>5264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86" t="str">
        <f t="shared" si="8"/>
        <v/>
      </c>
      <c r="C133" s="209" t="s">
        <v>5267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5265</v>
      </c>
      <c r="V133" s="209" t="str">
        <f>IF(AND(F133&lt;&gt;"",NeoBerInfB!I30),"Extra","")</f>
        <v/>
      </c>
      <c r="W133" s="209" t="s">
        <v>5264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86" t="str">
        <f t="shared" si="8"/>
        <v/>
      </c>
      <c r="C134" s="209" t="s">
        <v>5267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5265</v>
      </c>
      <c r="V134" s="209" t="str">
        <f>IF(AND(F134&lt;&gt;"",NeoBerInfB!I31),"Extra","")</f>
        <v/>
      </c>
      <c r="W134" s="209" t="s">
        <v>5264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86" t="str">
        <f t="shared" si="8"/>
        <v/>
      </c>
      <c r="C135" s="209" t="s">
        <v>5267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5265</v>
      </c>
      <c r="V135" s="209" t="str">
        <f>IF(AND(F135&lt;&gt;"",NeoBerInfB!I32),"Extra","")</f>
        <v/>
      </c>
      <c r="W135" s="209" t="s">
        <v>5264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86">
        <f>NeoBerInfB!B36</f>
        <v>0</v>
      </c>
      <c r="C136" s="209" t="s">
        <v>5267</v>
      </c>
      <c r="D136" s="214" t="s">
        <v>5327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86">
        <f>NeoBerInfB!B37</f>
        <v>0</v>
      </c>
      <c r="C137" s="209" t="s">
        <v>5267</v>
      </c>
      <c r="D137" s="214" t="s">
        <v>5328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86" t="str">
        <f>ConcatenateKeyValue(E138:L138,"||","^^")</f>
        <v>Volume^^0 mL</v>
      </c>
      <c r="C138" s="209" t="s">
        <v>5268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5265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86" t="str">
        <f t="shared" ref="B139:B140" si="10">ConcatenateKeyValue(E139:L139,"||","^^")</f>
        <v>Volume^^0 mL</v>
      </c>
      <c r="C139" s="209" t="s">
        <v>5268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5265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86" t="str">
        <f t="shared" si="10"/>
        <v>Volume^^0 mL</v>
      </c>
      <c r="C140" s="209" t="s">
        <v>5268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5265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86" t="str">
        <f ca="1">ConcatenateKeyValue(E141:J141,"||","^^")</f>
        <v>Naam^^Intralipid 20% (incl vitintra)||Volume^^0 ml</v>
      </c>
      <c r="C141" s="209" t="s">
        <v>5270</v>
      </c>
      <c r="D141" s="209" t="s">
        <v>5258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786" t="str">
        <f ca="1">ConcatenateKeyValue(E142:J142,"||","^^")</f>
        <v/>
      </c>
      <c r="C142" s="209" t="s">
        <v>5270</v>
      </c>
      <c r="D142" s="209" t="s">
        <v>5271</v>
      </c>
      <c r="E142" s="209" t="s">
        <v>5259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5260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86" t="str">
        <f>NeoBerInfB!AL58</f>
        <v/>
      </c>
      <c r="C143" s="209" t="s">
        <v>499</v>
      </c>
      <c r="D143" s="348" t="s">
        <v>5244</v>
      </c>
    </row>
    <row r="144" spans="1:24" x14ac:dyDescent="0.2">
      <c r="A144" s="236" t="str">
        <f t="shared" si="9"/>
        <v>NeoIntake.Energy</v>
      </c>
      <c r="B144" s="786" t="str">
        <f>NeoBerInfB!AU58</f>
        <v/>
      </c>
      <c r="C144" s="209" t="s">
        <v>499</v>
      </c>
      <c r="D144" s="348" t="s">
        <v>5245</v>
      </c>
    </row>
    <row r="145" spans="1:15" x14ac:dyDescent="0.2">
      <c r="A145" s="236" t="str">
        <f t="shared" si="9"/>
        <v>NeoIntake.Glucose</v>
      </c>
      <c r="B145" s="786" t="str">
        <f>NeoBerInfB!AS58</f>
        <v/>
      </c>
      <c r="C145" s="209" t="s">
        <v>499</v>
      </c>
      <c r="D145" s="348" t="s">
        <v>430</v>
      </c>
    </row>
    <row r="146" spans="1:15" x14ac:dyDescent="0.2">
      <c r="A146" s="236" t="str">
        <f t="shared" si="9"/>
        <v>NeoIntake.Eiwit</v>
      </c>
      <c r="B146" s="786" t="str">
        <f>NeoBerInfB!AR58</f>
        <v/>
      </c>
      <c r="C146" s="209" t="s">
        <v>499</v>
      </c>
      <c r="D146" s="348" t="s">
        <v>167</v>
      </c>
    </row>
    <row r="147" spans="1:15" x14ac:dyDescent="0.2">
      <c r="A147" s="236" t="str">
        <f t="shared" si="9"/>
        <v>NeoIntake.Vet</v>
      </c>
      <c r="B147" s="786" t="str">
        <f>NeoBerInfB!AT58</f>
        <v/>
      </c>
      <c r="C147" s="209" t="s">
        <v>499</v>
      </c>
      <c r="D147" s="348" t="s">
        <v>168</v>
      </c>
    </row>
    <row r="148" spans="1:15" x14ac:dyDescent="0.2">
      <c r="A148" s="236" t="str">
        <f t="shared" si="9"/>
        <v>NeoIntake.Vitamine D</v>
      </c>
      <c r="B148" s="787" t="str">
        <f>NeoBerInfB!AW58</f>
        <v/>
      </c>
      <c r="C148" s="209" t="s">
        <v>499</v>
      </c>
      <c r="D148" s="348" t="s">
        <v>5246</v>
      </c>
    </row>
    <row r="149" spans="1:15" x14ac:dyDescent="0.2">
      <c r="A149" s="236" t="str">
        <f t="shared" si="9"/>
        <v>NeoIntake.Ijzer</v>
      </c>
      <c r="B149" s="787" t="str">
        <f>NeoBerInfB!AX58</f>
        <v/>
      </c>
      <c r="C149" s="209" t="s">
        <v>499</v>
      </c>
      <c r="D149" s="209" t="s">
        <v>5247</v>
      </c>
      <c r="N149" s="208"/>
      <c r="O149" s="209"/>
    </row>
    <row r="150" spans="1:15" x14ac:dyDescent="0.2">
      <c r="A150" s="236" t="str">
        <f t="shared" si="9"/>
        <v>NeoIntake.Natrium</v>
      </c>
      <c r="B150" s="787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87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787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87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787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87" t="str">
        <f>NeoGuiInfB!F62</f>
        <v/>
      </c>
      <c r="C155" s="209" t="s">
        <v>5272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787" t="str">
        <f>NeoGuiInfB!F63</f>
        <v/>
      </c>
      <c r="C156" s="209" t="s">
        <v>5272</v>
      </c>
      <c r="D156" s="209" t="s">
        <v>5273</v>
      </c>
      <c r="N156" s="209"/>
    </row>
    <row r="157" spans="1:15" x14ac:dyDescent="0.2">
      <c r="A157" s="236" t="str">
        <f t="shared" si="9"/>
        <v>NeoLab.16:00uur</v>
      </c>
      <c r="B157" s="787" t="str">
        <f>NeoGuiInfB!F64</f>
        <v/>
      </c>
      <c r="C157" s="209" t="s">
        <v>5272</v>
      </c>
      <c r="D157" s="209" t="s">
        <v>5274</v>
      </c>
      <c r="N157" s="209"/>
    </row>
    <row r="158" spans="1:15" x14ac:dyDescent="0.2">
      <c r="A158" s="236" t="str">
        <f t="shared" si="9"/>
        <v>NeoLab.20:00uur</v>
      </c>
      <c r="B158" s="787" t="str">
        <f>NeoGuiInfB!F65</f>
        <v/>
      </c>
      <c r="C158" s="209" t="s">
        <v>5272</v>
      </c>
      <c r="D158" s="209" t="s">
        <v>5275</v>
      </c>
      <c r="N158" s="209"/>
    </row>
    <row r="159" spans="1:15" x14ac:dyDescent="0.2">
      <c r="A159" s="236" t="str">
        <f t="shared" si="9"/>
        <v>NeoLab.24:00uur</v>
      </c>
      <c r="B159" s="787" t="str">
        <f>NeoGuiInfB!F66</f>
        <v/>
      </c>
      <c r="C159" s="209" t="s">
        <v>5272</v>
      </c>
      <c r="D159" s="209" t="s">
        <v>5250</v>
      </c>
    </row>
    <row r="160" spans="1:15" x14ac:dyDescent="0.2">
      <c r="A160" s="236" t="str">
        <f t="shared" si="9"/>
        <v>NeoLab.04:00uur</v>
      </c>
      <c r="B160" s="787" t="str">
        <f>NeoGuiInfB!F67</f>
        <v/>
      </c>
      <c r="C160" s="209" t="s">
        <v>5272</v>
      </c>
      <c r="D160" s="209" t="s">
        <v>5276</v>
      </c>
    </row>
    <row r="161" spans="1:14" x14ac:dyDescent="0.2">
      <c r="A161" s="236" t="str">
        <f t="shared" si="9"/>
        <v>NeoLab.Zat 08:00uur</v>
      </c>
      <c r="B161" s="787" t="str">
        <f>NeoGuiInfB!F68</f>
        <v/>
      </c>
      <c r="C161" s="209" t="s">
        <v>5272</v>
      </c>
      <c r="D161" s="209" t="s">
        <v>5277</v>
      </c>
    </row>
    <row r="162" spans="1:14" x14ac:dyDescent="0.2">
      <c r="A162" s="236" t="str">
        <f t="shared" si="9"/>
        <v>NeoLab.Zon 08:00uur</v>
      </c>
      <c r="B162" s="787" t="str">
        <f>NeoGuiInfB!F69</f>
        <v/>
      </c>
      <c r="C162" s="209" t="s">
        <v>5272</v>
      </c>
      <c r="D162" s="209" t="s">
        <v>5307</v>
      </c>
    </row>
    <row r="163" spans="1:14" x14ac:dyDescent="0.2">
      <c r="A163" s="236" t="str">
        <f t="shared" si="9"/>
        <v>NeoLab.Mnd 08:00uur</v>
      </c>
      <c r="B163" s="787" t="str">
        <f>NeoGuiInfB!F70</f>
        <v/>
      </c>
      <c r="C163" s="209" t="s">
        <v>5272</v>
      </c>
      <c r="D163" s="209" t="s">
        <v>5306</v>
      </c>
    </row>
    <row r="164" spans="1:14" x14ac:dyDescent="0.2">
      <c r="A164" s="236" t="str">
        <f t="shared" si="9"/>
        <v>NeoLab.Opmerking</v>
      </c>
      <c r="B164" s="786" t="str">
        <f>IF(_Neo_Lab_Opm=0,"",_Neo_Lab_Opm)</f>
        <v/>
      </c>
      <c r="C164" s="209" t="s">
        <v>5272</v>
      </c>
      <c r="D164" s="209" t="s">
        <v>184</v>
      </c>
    </row>
    <row r="165" spans="1:14" x14ac:dyDescent="0.2">
      <c r="A165" s="236" t="str">
        <f t="shared" si="9"/>
        <v>NeoAfspr.01</v>
      </c>
      <c r="B165" s="786" t="str">
        <f>IF(NeoGuiAfspr!D45="","",NeoGuiAfspr!C45&amp;": "&amp;NeoGuiAfspr!D45)</f>
        <v/>
      </c>
      <c r="C165" s="209" t="s">
        <v>5278</v>
      </c>
      <c r="D165" s="211" t="s">
        <v>343</v>
      </c>
    </row>
    <row r="166" spans="1:14" x14ac:dyDescent="0.2">
      <c r="A166" s="236" t="str">
        <f t="shared" si="9"/>
        <v>NeoAfspr.02</v>
      </c>
      <c r="B166" s="786" t="str">
        <f>IF(NeoGuiAfspr!D46="","",NeoGuiAfspr!C46&amp;": "&amp;NeoGuiAfspr!D46)</f>
        <v/>
      </c>
      <c r="C166" s="209" t="s">
        <v>5278</v>
      </c>
      <c r="D166" s="211" t="s">
        <v>344</v>
      </c>
    </row>
    <row r="167" spans="1:14" x14ac:dyDescent="0.2">
      <c r="A167" s="236" t="str">
        <f t="shared" si="9"/>
        <v>NeoAfspr.03</v>
      </c>
      <c r="B167" s="786" t="str">
        <f>IF(NeoGuiAfspr!D47="","",NeoGuiAfspr!C47&amp;": "&amp;NeoGuiAfspr!D47)</f>
        <v/>
      </c>
      <c r="C167" s="209" t="s">
        <v>5278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786" t="str">
        <f>IF(NeoGuiAfspr!D48="","",NeoGuiAfspr!C48&amp;": "&amp;NeoGuiAfspr!D48)</f>
        <v/>
      </c>
      <c r="C168" s="209" t="s">
        <v>5278</v>
      </c>
      <c r="D168" s="211" t="s">
        <v>346</v>
      </c>
    </row>
    <row r="169" spans="1:14" x14ac:dyDescent="0.2">
      <c r="A169" s="236" t="str">
        <f t="shared" si="9"/>
        <v>NeoAfspr.05</v>
      </c>
      <c r="B169" s="786" t="str">
        <f>IF(NeoGuiAfspr!D49="","",NeoGuiAfspr!C49&amp;": "&amp;NeoGuiAfspr!D49)</f>
        <v/>
      </c>
      <c r="C169" s="209" t="s">
        <v>5278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84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8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940" activePane="bottomRight" state="frozen"/>
      <selection activeCell="C22" sqref="C22"/>
      <selection pane="topRight" activeCell="C22" sqref="C22"/>
      <selection pane="bottomLeft" activeCell="C22" sqref="C22"/>
      <selection pane="bottomRight" activeCell="C947" sqref="C947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48"/>
    </row>
    <row r="3" spans="1:6" x14ac:dyDescent="0.2">
      <c r="A3" s="208" t="s">
        <v>907</v>
      </c>
      <c r="B3" s="208" t="str">
        <f>IF(ISBLANK(PatDetails!$B$2),"",PatDetails!$B$2)</f>
        <v/>
      </c>
      <c r="C3" s="348"/>
    </row>
    <row r="4" spans="1:6" x14ac:dyDescent="0.2">
      <c r="A4" s="208" t="s">
        <v>908</v>
      </c>
      <c r="B4" s="208" t="str">
        <f>IF(ISBLANK(PatDetails!$B$3),"",PatDetails!$B$3)</f>
        <v/>
      </c>
      <c r="C4" s="348"/>
    </row>
    <row r="5" spans="1:6" x14ac:dyDescent="0.2">
      <c r="A5" s="208" t="s">
        <v>909</v>
      </c>
      <c r="B5" s="208" t="str">
        <f>IF(ISBLANK(PatDetails!$B$4),"",PatDetails!$B$4)</f>
        <v/>
      </c>
      <c r="C5" s="348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48"/>
    </row>
    <row r="22" spans="1:3" x14ac:dyDescent="0.2">
      <c r="A22" s="208" t="s">
        <v>1761</v>
      </c>
      <c r="B22" t="str">
        <f>IF(ISBLANK(GlobBerMedDisc!$AJ$3),"",GlobBerMedDisc!$AJ$3)</f>
        <v/>
      </c>
      <c r="C22" s="348"/>
    </row>
    <row r="23" spans="1:3" x14ac:dyDescent="0.2">
      <c r="A23" s="208" t="s">
        <v>1762</v>
      </c>
      <c r="B23" t="str">
        <f>IF(ISBLANK(GlobBerMedDisc!$AJ$4),"",GlobBerMedDisc!$AJ$4)</f>
        <v/>
      </c>
      <c r="C23" s="348"/>
    </row>
    <row r="24" spans="1:3" x14ac:dyDescent="0.2">
      <c r="A24" s="208" t="s">
        <v>1763</v>
      </c>
      <c r="B24" t="str">
        <f>IF(ISBLANK(GlobBerMedDisc!$AJ$5),"",GlobBerMedDisc!$AJ$5)</f>
        <v/>
      </c>
      <c r="C24" s="348"/>
    </row>
    <row r="25" spans="1:3" x14ac:dyDescent="0.2">
      <c r="A25" s="208" t="s">
        <v>1764</v>
      </c>
      <c r="B25" t="str">
        <f>IF(ISBLANK(GlobBerMedDisc!$AJ$6),"",GlobBerMedDisc!$AJ$6)</f>
        <v/>
      </c>
      <c r="C25" s="348"/>
    </row>
    <row r="26" spans="1:3" x14ac:dyDescent="0.2">
      <c r="A26" s="208" t="s">
        <v>1765</v>
      </c>
      <c r="B26" t="str">
        <f>IF(ISBLANK(GlobBerMedDisc!$AJ$7),"",GlobBerMedDisc!$AJ$7)</f>
        <v/>
      </c>
      <c r="C26" s="348"/>
    </row>
    <row r="27" spans="1:3" x14ac:dyDescent="0.2">
      <c r="A27" s="208" t="s">
        <v>1766</v>
      </c>
      <c r="B27" t="str">
        <f>IF(ISBLANK(GlobBerMedDisc!$AJ$8),"",GlobBerMedDisc!$AJ$8)</f>
        <v/>
      </c>
      <c r="C27" s="348"/>
    </row>
    <row r="28" spans="1:3" x14ac:dyDescent="0.2">
      <c r="A28" s="208" t="s">
        <v>1767</v>
      </c>
      <c r="B28" t="str">
        <f>IF(ISBLANK(GlobBerMedDisc!$AJ$9),"",GlobBerMedDisc!$AJ$9)</f>
        <v/>
      </c>
      <c r="C28" s="348"/>
    </row>
    <row r="29" spans="1:3" x14ac:dyDescent="0.2">
      <c r="A29" s="208" t="s">
        <v>1768</v>
      </c>
      <c r="B29" t="str">
        <f>IF(ISBLANK(GlobBerMedDisc!$AJ$10),"",GlobBerMedDisc!$AJ$10)</f>
        <v/>
      </c>
      <c r="C29" s="348"/>
    </row>
    <row r="30" spans="1:3" x14ac:dyDescent="0.2">
      <c r="A30" s="208" t="s">
        <v>1769</v>
      </c>
      <c r="B30" t="str">
        <f>IF(ISBLANK(GlobBerMedDisc!$AJ$11),"",GlobBerMedDisc!$AJ$11)</f>
        <v/>
      </c>
      <c r="C30" s="348"/>
    </row>
    <row r="31" spans="1:3" x14ac:dyDescent="0.2">
      <c r="A31" s="208" t="s">
        <v>1770</v>
      </c>
      <c r="B31" t="str">
        <f>IF(ISBLANK(GlobBerMedDisc!$AJ$12),"",GlobBerMedDisc!$AJ$12)</f>
        <v/>
      </c>
      <c r="C31" s="348"/>
    </row>
    <row r="32" spans="1:3" x14ac:dyDescent="0.2">
      <c r="A32" s="208" t="s">
        <v>1771</v>
      </c>
      <c r="B32" t="str">
        <f>IF(ISBLANK(GlobBerMedDisc!$AJ$13),"",GlobBerMedDisc!$AJ$13)</f>
        <v/>
      </c>
      <c r="C32" s="348"/>
    </row>
    <row r="33" spans="1:6" x14ac:dyDescent="0.2">
      <c r="A33" s="208" t="s">
        <v>1772</v>
      </c>
      <c r="B33" t="str">
        <f>IF(ISBLANK(GlobBerMedDisc!$AJ$14),"",GlobBerMedDisc!$AJ$14)</f>
        <v/>
      </c>
      <c r="C33" s="348"/>
    </row>
    <row r="34" spans="1:6" x14ac:dyDescent="0.2">
      <c r="A34" s="208" t="s">
        <v>1773</v>
      </c>
      <c r="B34" t="str">
        <f>IF(ISBLANK(GlobBerMedDisc!$AJ$15),"",GlobBerMedDisc!$AJ$15)</f>
        <v/>
      </c>
      <c r="C34" s="348"/>
    </row>
    <row r="35" spans="1:6" x14ac:dyDescent="0.2">
      <c r="A35" s="208" t="s">
        <v>1774</v>
      </c>
      <c r="B35" t="str">
        <f>IF(ISBLANK(GlobBerMedDisc!$AJ$16),"",GlobBerMedDisc!$AJ$16)</f>
        <v/>
      </c>
      <c r="C35" s="348"/>
    </row>
    <row r="36" spans="1:6" x14ac:dyDescent="0.2">
      <c r="A36" s="208" t="s">
        <v>1775</v>
      </c>
      <c r="B36" t="str">
        <f>IF(ISBLANK(GlobBerMedDisc!$AJ$17),"",GlobBerMedDisc!$AJ$17)</f>
        <v/>
      </c>
      <c r="C36" s="348"/>
    </row>
    <row r="37" spans="1:6" x14ac:dyDescent="0.2">
      <c r="A37" s="208" t="s">
        <v>1776</v>
      </c>
      <c r="B37" t="str">
        <f>IF(ISBLANK(GlobBerMedDisc!$AJ$18),"",GlobBerMedDisc!$AJ$18)</f>
        <v/>
      </c>
      <c r="C37" s="348"/>
    </row>
    <row r="38" spans="1:6" x14ac:dyDescent="0.2">
      <c r="A38" s="208" t="s">
        <v>1777</v>
      </c>
      <c r="B38" t="str">
        <f>IF(ISBLANK(GlobBerMedDisc!$AJ$19),"",GlobBerMedDisc!$AJ$19)</f>
        <v/>
      </c>
      <c r="C38" s="348"/>
    </row>
    <row r="39" spans="1:6" x14ac:dyDescent="0.2">
      <c r="A39" s="208" t="s">
        <v>1778</v>
      </c>
      <c r="B39" t="str">
        <f>IF(ISBLANK(GlobBerMedDisc!$AJ$20),"",GlobBerMedDisc!$AJ$20)</f>
        <v/>
      </c>
      <c r="C39" s="348"/>
    </row>
    <row r="40" spans="1:6" x14ac:dyDescent="0.2">
      <c r="A40" s="208" t="s">
        <v>1779</v>
      </c>
      <c r="B40" t="str">
        <f>IF(ISBLANK(GlobBerMedDisc!$AJ$21),"",GlobBerMedDisc!$AJ$21)</f>
        <v/>
      </c>
      <c r="C40" s="348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48"/>
    </row>
    <row r="42" spans="1:6" x14ac:dyDescent="0.2">
      <c r="A42" s="208" t="s">
        <v>1781</v>
      </c>
      <c r="B42" t="str">
        <f>IF(ISBLANK(GlobBerMedDisc!$AJ$23),"",GlobBerMedDisc!$AJ$23)</f>
        <v/>
      </c>
      <c r="C42" s="348"/>
    </row>
    <row r="43" spans="1:6" x14ac:dyDescent="0.2">
      <c r="A43" s="208" t="s">
        <v>1782</v>
      </c>
      <c r="B43" t="str">
        <f>IF(ISBLANK(GlobBerMedDisc!$AJ$24),"",GlobBerMedDisc!$AJ$24)</f>
        <v/>
      </c>
      <c r="C43" s="348"/>
    </row>
    <row r="44" spans="1:6" x14ac:dyDescent="0.2">
      <c r="A44" s="208" t="s">
        <v>1783</v>
      </c>
      <c r="B44" t="str">
        <f>IF(ISBLANK(GlobBerMedDisc!$AJ$25),"",GlobBerMedDisc!$AJ$25)</f>
        <v/>
      </c>
      <c r="C44" s="348"/>
    </row>
    <row r="45" spans="1:6" x14ac:dyDescent="0.2">
      <c r="A45" s="208" t="s">
        <v>1784</v>
      </c>
      <c r="B45" t="str">
        <f>IF(ISBLANK(GlobBerMedDisc!$AJ$26),"",GlobBerMedDisc!$AJ$26)</f>
        <v/>
      </c>
      <c r="C45" s="348"/>
    </row>
    <row r="46" spans="1:6" x14ac:dyDescent="0.2">
      <c r="A46" s="208" t="s">
        <v>1785</v>
      </c>
      <c r="B46" t="str">
        <f>IF(ISBLANK(GlobBerMedDisc!$AJ$27),"",GlobBerMedDisc!$AJ$27)</f>
        <v/>
      </c>
      <c r="C46" s="348"/>
    </row>
    <row r="47" spans="1:6" x14ac:dyDescent="0.2">
      <c r="A47" s="208" t="s">
        <v>1786</v>
      </c>
      <c r="B47" t="str">
        <f>IF(ISBLANK(GlobBerMedDisc!$AJ$28),"",GlobBerMedDisc!$AJ$28)</f>
        <v/>
      </c>
      <c r="C47" s="348"/>
    </row>
    <row r="48" spans="1:6" x14ac:dyDescent="0.2">
      <c r="A48" s="208" t="s">
        <v>1787</v>
      </c>
      <c r="B48" t="str">
        <f>IF(ISBLANK(GlobBerMedDisc!$AJ$29),"",GlobBerMedDisc!$AJ$29)</f>
        <v/>
      </c>
      <c r="C48" s="348"/>
    </row>
    <row r="49" spans="1:6" x14ac:dyDescent="0.2">
      <c r="A49" s="208" t="s">
        <v>1788</v>
      </c>
      <c r="B49" t="str">
        <f>IF(ISBLANK(GlobBerMedDisc!$AJ$30),"",GlobBerMedDisc!$AJ$30)</f>
        <v/>
      </c>
      <c r="C49" s="348"/>
    </row>
    <row r="50" spans="1:6" x14ac:dyDescent="0.2">
      <c r="A50" s="208" t="s">
        <v>1789</v>
      </c>
      <c r="B50" t="str">
        <f>IF(ISBLANK(GlobBerMedDisc!$AJ$31),"",GlobBerMedDisc!$AJ$31)</f>
        <v/>
      </c>
      <c r="C50" s="348"/>
    </row>
    <row r="51" spans="1:6" x14ac:dyDescent="0.2">
      <c r="A51" s="208" t="s">
        <v>5449</v>
      </c>
      <c r="B51" s="208" t="str">
        <f>IF(ISBLANK(GlobBerMedDisc!$AU$2),"",GlobBerMedDisc!$AU$2)</f>
        <v/>
      </c>
      <c r="C51" s="348"/>
      <c r="D51" s="208"/>
      <c r="E51" s="208"/>
      <c r="F51" s="208"/>
    </row>
    <row r="52" spans="1:6" x14ac:dyDescent="0.2">
      <c r="A52" s="208" t="s">
        <v>5451</v>
      </c>
      <c r="B52" s="208" t="str">
        <f>IF(ISBLANK(GlobBerMedDisc!$AU$3),"",GlobBerMedDisc!$AU$3)</f>
        <v/>
      </c>
      <c r="C52" s="348"/>
      <c r="D52" s="208"/>
      <c r="E52" s="208"/>
      <c r="F52" s="208"/>
    </row>
    <row r="53" spans="1:6" x14ac:dyDescent="0.2">
      <c r="A53" s="208" t="s">
        <v>5453</v>
      </c>
      <c r="B53" s="208" t="str">
        <f>IF(ISBLANK(GlobBerMedDisc!$AU$4),"",GlobBerMedDisc!$AU$4)</f>
        <v/>
      </c>
      <c r="C53" s="348"/>
      <c r="D53" s="208"/>
      <c r="E53" s="208"/>
      <c r="F53" s="208"/>
    </row>
    <row r="54" spans="1:6" x14ac:dyDescent="0.2">
      <c r="A54" s="208" t="s">
        <v>5455</v>
      </c>
      <c r="B54" s="208" t="str">
        <f>IF(ISBLANK(GlobBerMedDisc!$AU$5),"",GlobBerMedDisc!$AU$5)</f>
        <v/>
      </c>
      <c r="C54" s="348"/>
      <c r="D54" s="208"/>
      <c r="E54" s="208"/>
      <c r="F54" s="208"/>
    </row>
    <row r="55" spans="1:6" x14ac:dyDescent="0.2">
      <c r="A55" s="208" t="s">
        <v>5457</v>
      </c>
      <c r="B55" s="208" t="str">
        <f>IF(ISBLANK(GlobBerMedDisc!$AU$6),"",GlobBerMedDisc!$AU$6)</f>
        <v/>
      </c>
      <c r="C55" s="348"/>
      <c r="D55" s="208"/>
      <c r="E55" s="208"/>
      <c r="F55" s="208"/>
    </row>
    <row r="56" spans="1:6" x14ac:dyDescent="0.2">
      <c r="A56" s="208" t="s">
        <v>5459</v>
      </c>
      <c r="B56" s="208" t="str">
        <f>IF(ISBLANK(GlobBerMedDisc!$AU$7),"",GlobBerMedDisc!$AU$7)</f>
        <v/>
      </c>
      <c r="C56" s="348"/>
      <c r="D56" s="208"/>
      <c r="E56" s="208"/>
      <c r="F56" s="208"/>
    </row>
    <row r="57" spans="1:6" x14ac:dyDescent="0.2">
      <c r="A57" s="208" t="s">
        <v>5461</v>
      </c>
      <c r="B57" s="208" t="str">
        <f>IF(ISBLANK(GlobBerMedDisc!$AU$8),"",GlobBerMedDisc!$AU$8)</f>
        <v/>
      </c>
      <c r="C57" s="348"/>
      <c r="D57" s="208"/>
      <c r="E57" s="208"/>
      <c r="F57" s="208"/>
    </row>
    <row r="58" spans="1:6" x14ac:dyDescent="0.2">
      <c r="A58" s="208" t="s">
        <v>5463</v>
      </c>
      <c r="B58" s="208" t="str">
        <f>IF(ISBLANK(GlobBerMedDisc!$AU$9),"",GlobBerMedDisc!$AU$9)</f>
        <v/>
      </c>
      <c r="C58" s="348"/>
      <c r="D58" s="208"/>
      <c r="E58" s="208"/>
      <c r="F58" s="208"/>
    </row>
    <row r="59" spans="1:6" x14ac:dyDescent="0.2">
      <c r="A59" s="208" t="s">
        <v>5465</v>
      </c>
      <c r="B59" s="208" t="str">
        <f>IF(ISBLANK(GlobBerMedDisc!$AU$10),"",GlobBerMedDisc!$AU$10)</f>
        <v/>
      </c>
      <c r="C59" s="348"/>
      <c r="D59" s="208"/>
      <c r="E59" s="208"/>
      <c r="F59" s="208"/>
    </row>
    <row r="60" spans="1:6" x14ac:dyDescent="0.2">
      <c r="A60" s="208" t="s">
        <v>5467</v>
      </c>
      <c r="B60" s="208" t="str">
        <f>IF(ISBLANK(GlobBerMedDisc!$AU$11),"",GlobBerMedDisc!$AU$11)</f>
        <v/>
      </c>
      <c r="C60" s="348"/>
      <c r="D60" s="208"/>
      <c r="E60" s="208"/>
      <c r="F60" s="208"/>
    </row>
    <row r="61" spans="1:6" x14ac:dyDescent="0.2">
      <c r="A61" s="208" t="s">
        <v>5469</v>
      </c>
      <c r="B61" s="208" t="str">
        <f>IF(ISBLANK(GlobBerMedDisc!$AU$12),"",GlobBerMedDisc!$AU$12)</f>
        <v/>
      </c>
      <c r="C61" s="348"/>
      <c r="D61" s="208"/>
      <c r="E61" s="208"/>
      <c r="F61" s="208"/>
    </row>
    <row r="62" spans="1:6" x14ac:dyDescent="0.2">
      <c r="A62" s="208" t="s">
        <v>5471</v>
      </c>
      <c r="B62" s="208" t="str">
        <f>IF(ISBLANK(GlobBerMedDisc!$AU$13),"",GlobBerMedDisc!$AU$13)</f>
        <v/>
      </c>
      <c r="C62" s="348"/>
      <c r="D62" s="208"/>
      <c r="E62" s="208"/>
      <c r="F62" s="208"/>
    </row>
    <row r="63" spans="1:6" x14ac:dyDescent="0.2">
      <c r="A63" s="208" t="s">
        <v>5473</v>
      </c>
      <c r="B63" s="208" t="str">
        <f>IF(ISBLANK(GlobBerMedDisc!$AU$14),"",GlobBerMedDisc!$AU$14)</f>
        <v/>
      </c>
      <c r="C63" s="348"/>
      <c r="D63" s="208"/>
      <c r="E63" s="208"/>
      <c r="F63" s="208"/>
    </row>
    <row r="64" spans="1:6" x14ac:dyDescent="0.2">
      <c r="A64" s="208" t="s">
        <v>5475</v>
      </c>
      <c r="B64" s="208" t="str">
        <f>IF(ISBLANK(GlobBerMedDisc!$AU$15),"",GlobBerMedDisc!$AU$15)</f>
        <v/>
      </c>
      <c r="C64" s="348"/>
      <c r="D64" s="208"/>
      <c r="E64" s="208"/>
      <c r="F64" s="208"/>
    </row>
    <row r="65" spans="1:6" x14ac:dyDescent="0.2">
      <c r="A65" s="208" t="s">
        <v>5477</v>
      </c>
      <c r="B65" s="208" t="str">
        <f>IF(ISBLANK(GlobBerMedDisc!$AU$16),"",GlobBerMedDisc!$AU$16)</f>
        <v/>
      </c>
      <c r="C65" s="348"/>
      <c r="D65" s="208"/>
      <c r="E65" s="208"/>
      <c r="F65" s="208"/>
    </row>
    <row r="66" spans="1:6" x14ac:dyDescent="0.2">
      <c r="A66" s="208" t="s">
        <v>5479</v>
      </c>
      <c r="B66" s="208" t="str">
        <f>IF(ISBLANK(GlobBerMedDisc!$AU$17),"",GlobBerMedDisc!$AU$17)</f>
        <v/>
      </c>
      <c r="C66" s="348"/>
      <c r="D66" s="208"/>
      <c r="E66" s="208"/>
      <c r="F66" s="208"/>
    </row>
    <row r="67" spans="1:6" x14ac:dyDescent="0.2">
      <c r="A67" s="208" t="s">
        <v>5481</v>
      </c>
      <c r="B67" s="208" t="str">
        <f>IF(ISBLANK(GlobBerMedDisc!$AU$18),"",GlobBerMedDisc!$AU$18)</f>
        <v/>
      </c>
      <c r="C67" s="348"/>
      <c r="D67" s="208"/>
      <c r="E67" s="208"/>
      <c r="F67" s="208"/>
    </row>
    <row r="68" spans="1:6" x14ac:dyDescent="0.2">
      <c r="A68" s="208" t="s">
        <v>5483</v>
      </c>
      <c r="B68" s="208" t="str">
        <f>IF(ISBLANK(GlobBerMedDisc!$AU$19),"",GlobBerMedDisc!$AU$19)</f>
        <v/>
      </c>
      <c r="C68" s="348"/>
      <c r="D68" s="208"/>
      <c r="E68" s="208"/>
      <c r="F68" s="208"/>
    </row>
    <row r="69" spans="1:6" x14ac:dyDescent="0.2">
      <c r="A69" s="208" t="s">
        <v>5485</v>
      </c>
      <c r="B69" s="208" t="str">
        <f>IF(ISBLANK(GlobBerMedDisc!$AU$20),"",GlobBerMedDisc!$AU$20)</f>
        <v/>
      </c>
      <c r="C69" s="348"/>
      <c r="D69" s="208"/>
      <c r="E69" s="208"/>
      <c r="F69" s="208"/>
    </row>
    <row r="70" spans="1:6" x14ac:dyDescent="0.2">
      <c r="A70" s="208" t="s">
        <v>5487</v>
      </c>
      <c r="B70" s="208" t="str">
        <f>IF(ISBLANK(GlobBerMedDisc!$AU$21),"",GlobBerMedDisc!$AU$21)</f>
        <v/>
      </c>
      <c r="C70" s="348"/>
      <c r="D70" s="208"/>
      <c r="E70" s="208"/>
      <c r="F70" s="208"/>
    </row>
    <row r="71" spans="1:6" x14ac:dyDescent="0.2">
      <c r="A71" s="208" t="s">
        <v>5489</v>
      </c>
      <c r="B71" s="208" t="str">
        <f>IF(ISBLANK(GlobBerMedDisc!$AU$22),"",GlobBerMedDisc!$AU$22)</f>
        <v/>
      </c>
      <c r="C71" s="348"/>
      <c r="D71" s="208"/>
      <c r="E71" s="208"/>
      <c r="F71" s="208"/>
    </row>
    <row r="72" spans="1:6" x14ac:dyDescent="0.2">
      <c r="A72" s="208" t="s">
        <v>5491</v>
      </c>
      <c r="B72" s="208" t="str">
        <f>IF(ISBLANK(GlobBerMedDisc!$AU$23),"",GlobBerMedDisc!$AU$23)</f>
        <v/>
      </c>
      <c r="C72" s="348"/>
      <c r="D72" s="208"/>
      <c r="E72" s="208"/>
      <c r="F72" s="208"/>
    </row>
    <row r="73" spans="1:6" x14ac:dyDescent="0.2">
      <c r="A73" s="208" t="s">
        <v>5493</v>
      </c>
      <c r="B73" s="208" t="str">
        <f>IF(ISBLANK(GlobBerMedDisc!$AU$24),"",GlobBerMedDisc!$AU$24)</f>
        <v/>
      </c>
      <c r="C73" s="348"/>
      <c r="D73" s="208"/>
      <c r="E73" s="208"/>
      <c r="F73" s="208"/>
    </row>
    <row r="74" spans="1:6" x14ac:dyDescent="0.2">
      <c r="A74" s="208" t="s">
        <v>5495</v>
      </c>
      <c r="B74" s="208" t="str">
        <f>IF(ISBLANK(GlobBerMedDisc!$AU$25),"",GlobBerMedDisc!$AU$25)</f>
        <v/>
      </c>
      <c r="C74" s="348"/>
      <c r="D74" s="208"/>
      <c r="E74" s="208"/>
      <c r="F74" s="208"/>
    </row>
    <row r="75" spans="1:6" x14ac:dyDescent="0.2">
      <c r="A75" s="208" t="s">
        <v>5497</v>
      </c>
      <c r="B75" s="208" t="str">
        <f>IF(ISBLANK(GlobBerMedDisc!$AU$26),"",GlobBerMedDisc!$AU$26)</f>
        <v/>
      </c>
      <c r="C75" s="348"/>
      <c r="D75" s="208"/>
      <c r="E75" s="208"/>
      <c r="F75" s="208"/>
    </row>
    <row r="76" spans="1:6" x14ac:dyDescent="0.2">
      <c r="A76" s="208" t="s">
        <v>5499</v>
      </c>
      <c r="B76" s="208" t="str">
        <f>IF(ISBLANK(GlobBerMedDisc!$AU$27),"",GlobBerMedDisc!$AU$27)</f>
        <v/>
      </c>
      <c r="C76" s="348"/>
      <c r="D76" s="208"/>
      <c r="E76" s="208"/>
      <c r="F76" s="208"/>
    </row>
    <row r="77" spans="1:6" x14ac:dyDescent="0.2">
      <c r="A77" s="208" t="s">
        <v>5501</v>
      </c>
      <c r="B77" s="208" t="str">
        <f>IF(ISBLANK(GlobBerMedDisc!$AU$28),"",GlobBerMedDisc!$AU$28)</f>
        <v/>
      </c>
      <c r="C77" s="348"/>
      <c r="D77" s="208"/>
      <c r="E77" s="208"/>
      <c r="F77" s="208"/>
    </row>
    <row r="78" spans="1:6" x14ac:dyDescent="0.2">
      <c r="A78" s="208" t="s">
        <v>5503</v>
      </c>
      <c r="B78" s="208" t="str">
        <f>IF(ISBLANK(GlobBerMedDisc!$AU$29),"",GlobBerMedDisc!$AU$29)</f>
        <v/>
      </c>
      <c r="C78" s="348"/>
      <c r="D78" s="208"/>
      <c r="E78" s="208"/>
      <c r="F78" s="208"/>
    </row>
    <row r="79" spans="1:6" x14ac:dyDescent="0.2">
      <c r="A79" s="208" t="s">
        <v>5505</v>
      </c>
      <c r="B79" s="208" t="str">
        <f>IF(ISBLANK(GlobBerMedDisc!$AU$30),"",GlobBerMedDisc!$AU$30)</f>
        <v/>
      </c>
      <c r="C79" s="348"/>
      <c r="D79" s="208"/>
      <c r="E79" s="208"/>
      <c r="F79" s="208"/>
    </row>
    <row r="80" spans="1:6" x14ac:dyDescent="0.2">
      <c r="A80" s="208" t="s">
        <v>5507</v>
      </c>
      <c r="B80" s="208" t="str">
        <f>IF(ISBLANK(GlobBerMedDisc!$AU$31),"",GlobBerMedDisc!$AU$31)</f>
        <v/>
      </c>
      <c r="C80" s="348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48"/>
    </row>
    <row r="82" spans="1:3" x14ac:dyDescent="0.2">
      <c r="A82" s="208" t="s">
        <v>1791</v>
      </c>
      <c r="B82" t="str">
        <f>IF(ISBLANK(GlobBerMedDisc!$F$3),"",GlobBerMedDisc!$F$3)</f>
        <v/>
      </c>
      <c r="C82" s="348"/>
    </row>
    <row r="83" spans="1:3" x14ac:dyDescent="0.2">
      <c r="A83" s="208" t="s">
        <v>1792</v>
      </c>
      <c r="B83" t="str">
        <f>IF(ISBLANK(GlobBerMedDisc!$F$4),"",GlobBerMedDisc!$F$4)</f>
        <v/>
      </c>
      <c r="C83" s="348"/>
    </row>
    <row r="84" spans="1:3" x14ac:dyDescent="0.2">
      <c r="A84" s="208" t="s">
        <v>1793</v>
      </c>
      <c r="B84" t="str">
        <f>IF(ISBLANK(GlobBerMedDisc!$F$5),"",GlobBerMedDisc!$F$5)</f>
        <v/>
      </c>
      <c r="C84" s="348"/>
    </row>
    <row r="85" spans="1:3" x14ac:dyDescent="0.2">
      <c r="A85" s="208" t="s">
        <v>1794</v>
      </c>
      <c r="B85" t="str">
        <f>IF(ISBLANK(GlobBerMedDisc!$F$6),"",GlobBerMedDisc!$F$6)</f>
        <v/>
      </c>
      <c r="C85" s="348"/>
    </row>
    <row r="86" spans="1:3" x14ac:dyDescent="0.2">
      <c r="A86" s="208" t="s">
        <v>1795</v>
      </c>
      <c r="B86" t="str">
        <f>IF(ISBLANK(GlobBerMedDisc!$F$7),"",GlobBerMedDisc!$F$7)</f>
        <v/>
      </c>
      <c r="C86" s="348"/>
    </row>
    <row r="87" spans="1:3" x14ac:dyDescent="0.2">
      <c r="A87" s="208" t="s">
        <v>1796</v>
      </c>
      <c r="B87" t="str">
        <f>IF(ISBLANK(GlobBerMedDisc!$F$8),"",GlobBerMedDisc!$F$8)</f>
        <v/>
      </c>
      <c r="C87" s="348"/>
    </row>
    <row r="88" spans="1:3" x14ac:dyDescent="0.2">
      <c r="A88" s="208" t="s">
        <v>1797</v>
      </c>
      <c r="B88" t="str">
        <f>IF(ISBLANK(GlobBerMedDisc!$F$9),"",GlobBerMedDisc!$F$9)</f>
        <v/>
      </c>
      <c r="C88" s="348"/>
    </row>
    <row r="89" spans="1:3" x14ac:dyDescent="0.2">
      <c r="A89" s="208" t="s">
        <v>1798</v>
      </c>
      <c r="B89" t="str">
        <f>IF(ISBLANK(GlobBerMedDisc!$F$10),"",GlobBerMedDisc!$F$10)</f>
        <v/>
      </c>
      <c r="C89" s="348"/>
    </row>
    <row r="90" spans="1:3" x14ac:dyDescent="0.2">
      <c r="A90" s="208" t="s">
        <v>1799</v>
      </c>
      <c r="B90" t="str">
        <f>IF(ISBLANK(GlobBerMedDisc!$F$11),"",GlobBerMedDisc!$F$11)</f>
        <v/>
      </c>
      <c r="C90" s="348"/>
    </row>
    <row r="91" spans="1:3" x14ac:dyDescent="0.2">
      <c r="A91" s="208" t="s">
        <v>1800</v>
      </c>
      <c r="B91" t="str">
        <f>IF(ISBLANK(GlobBerMedDisc!$F$12),"",GlobBerMedDisc!$F$12)</f>
        <v/>
      </c>
      <c r="C91" s="348"/>
    </row>
    <row r="92" spans="1:3" x14ac:dyDescent="0.2">
      <c r="A92" s="208" t="s">
        <v>1801</v>
      </c>
      <c r="B92" t="str">
        <f>IF(ISBLANK(GlobBerMedDisc!$F$13),"",GlobBerMedDisc!$F$13)</f>
        <v/>
      </c>
      <c r="C92" s="348"/>
    </row>
    <row r="93" spans="1:3" x14ac:dyDescent="0.2">
      <c r="A93" s="208" t="s">
        <v>1802</v>
      </c>
      <c r="B93" t="str">
        <f>IF(ISBLANK(GlobBerMedDisc!$F$14),"",GlobBerMedDisc!$F$14)</f>
        <v/>
      </c>
      <c r="C93" s="348"/>
    </row>
    <row r="94" spans="1:3" x14ac:dyDescent="0.2">
      <c r="A94" s="208" t="s">
        <v>1803</v>
      </c>
      <c r="B94" t="str">
        <f>IF(ISBLANK(GlobBerMedDisc!$F$15),"",GlobBerMedDisc!$F$15)</f>
        <v/>
      </c>
      <c r="C94" s="348"/>
    </row>
    <row r="95" spans="1:3" x14ac:dyDescent="0.2">
      <c r="A95" s="208" t="s">
        <v>1804</v>
      </c>
      <c r="B95" t="str">
        <f>IF(ISBLANK(GlobBerMedDisc!$F$16),"",GlobBerMedDisc!$F$16)</f>
        <v/>
      </c>
      <c r="C95" s="348"/>
    </row>
    <row r="96" spans="1:3" x14ac:dyDescent="0.2">
      <c r="A96" s="208" t="s">
        <v>1805</v>
      </c>
      <c r="B96" t="str">
        <f>IF(ISBLANK(GlobBerMedDisc!$F$17),"",GlobBerMedDisc!$F$17)</f>
        <v/>
      </c>
      <c r="C96" s="348"/>
    </row>
    <row r="97" spans="1:3" x14ac:dyDescent="0.2">
      <c r="A97" s="208" t="s">
        <v>1806</v>
      </c>
      <c r="B97" t="str">
        <f>IF(ISBLANK(GlobBerMedDisc!$F$18),"",GlobBerMedDisc!$F$18)</f>
        <v/>
      </c>
      <c r="C97" s="348"/>
    </row>
    <row r="98" spans="1:3" x14ac:dyDescent="0.2">
      <c r="A98" s="208" t="s">
        <v>1807</v>
      </c>
      <c r="B98" t="str">
        <f>IF(ISBLANK(GlobBerMedDisc!$F$19),"",GlobBerMedDisc!$F$19)</f>
        <v/>
      </c>
      <c r="C98" s="348"/>
    </row>
    <row r="99" spans="1:3" x14ac:dyDescent="0.2">
      <c r="A99" s="208" t="s">
        <v>1808</v>
      </c>
      <c r="B99" t="str">
        <f>IF(ISBLANK(GlobBerMedDisc!$F$20),"",GlobBerMedDisc!$F$20)</f>
        <v/>
      </c>
      <c r="C99" s="348"/>
    </row>
    <row r="100" spans="1:3" x14ac:dyDescent="0.2">
      <c r="A100" s="208" t="s">
        <v>1809</v>
      </c>
      <c r="B100" t="str">
        <f>IF(ISBLANK(GlobBerMedDisc!$F$21),"",GlobBerMedDisc!$F$21)</f>
        <v/>
      </c>
      <c r="C100" s="348"/>
    </row>
    <row r="101" spans="1:3" x14ac:dyDescent="0.2">
      <c r="A101" s="208" t="s">
        <v>1810</v>
      </c>
      <c r="B101" t="str">
        <f>IF(ISBLANK(GlobBerMedDisc!$F$22),"",GlobBerMedDisc!$F$22)</f>
        <v/>
      </c>
      <c r="C101" s="348"/>
    </row>
    <row r="102" spans="1:3" x14ac:dyDescent="0.2">
      <c r="A102" s="208" t="s">
        <v>1811</v>
      </c>
      <c r="B102" t="str">
        <f>IF(ISBLANK(GlobBerMedDisc!$F$23),"",GlobBerMedDisc!$F$23)</f>
        <v/>
      </c>
      <c r="C102" s="348"/>
    </row>
    <row r="103" spans="1:3" x14ac:dyDescent="0.2">
      <c r="A103" s="208" t="s">
        <v>1812</v>
      </c>
      <c r="B103" t="str">
        <f>IF(ISBLANK(GlobBerMedDisc!$F$24),"",GlobBerMedDisc!$F$24)</f>
        <v/>
      </c>
      <c r="C103" s="348"/>
    </row>
    <row r="104" spans="1:3" x14ac:dyDescent="0.2">
      <c r="A104" s="208" t="s">
        <v>1813</v>
      </c>
      <c r="B104" t="str">
        <f>IF(ISBLANK(GlobBerMedDisc!$F$25),"",GlobBerMedDisc!$F$25)</f>
        <v/>
      </c>
      <c r="C104" s="348"/>
    </row>
    <row r="105" spans="1:3" x14ac:dyDescent="0.2">
      <c r="A105" s="208" t="s">
        <v>1814</v>
      </c>
      <c r="B105" t="str">
        <f>IF(ISBLANK(GlobBerMedDisc!$F$26),"",GlobBerMedDisc!$F$26)</f>
        <v/>
      </c>
      <c r="C105" s="348"/>
    </row>
    <row r="106" spans="1:3" x14ac:dyDescent="0.2">
      <c r="A106" s="208" t="s">
        <v>1815</v>
      </c>
      <c r="B106" t="str">
        <f>IF(ISBLANK(GlobBerMedDisc!$F$27),"",GlobBerMedDisc!$F$27)</f>
        <v/>
      </c>
      <c r="C106" s="348"/>
    </row>
    <row r="107" spans="1:3" x14ac:dyDescent="0.2">
      <c r="A107" s="208" t="s">
        <v>1816</v>
      </c>
      <c r="B107" t="str">
        <f>IF(ISBLANK(GlobBerMedDisc!$F$28),"",GlobBerMedDisc!$F$28)</f>
        <v/>
      </c>
      <c r="C107" s="348"/>
    </row>
    <row r="108" spans="1:3" x14ac:dyDescent="0.2">
      <c r="A108" s="208" t="s">
        <v>1817</v>
      </c>
      <c r="B108" t="str">
        <f>IF(ISBLANK(GlobBerMedDisc!$F$29),"",GlobBerMedDisc!$F$29)</f>
        <v/>
      </c>
      <c r="C108" s="348"/>
    </row>
    <row r="109" spans="1:3" x14ac:dyDescent="0.2">
      <c r="A109" s="208" t="s">
        <v>1818</v>
      </c>
      <c r="B109" t="str">
        <f>IF(ISBLANK(GlobBerMedDisc!$F$30),"",GlobBerMedDisc!$F$30)</f>
        <v/>
      </c>
      <c r="C109" s="348"/>
    </row>
    <row r="110" spans="1:3" x14ac:dyDescent="0.2">
      <c r="A110" s="208" t="s">
        <v>1819</v>
      </c>
      <c r="B110" t="str">
        <f>IF(ISBLANK(GlobBerMedDisc!$F$31),"",GlobBerMedDisc!$F$31)</f>
        <v/>
      </c>
      <c r="C110" s="348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5827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5829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5831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5833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5835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5837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5839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5841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5843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5845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5847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5849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5851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5853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5855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5857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5859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5861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5863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5865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5867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5869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5871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5873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5875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5877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5879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5881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5883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5885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6096</v>
      </c>
      <c r="B201" t="str">
        <f>IF(ISBLANK(GlobBerMedDisc!$BE$2),"",GlobBerMedDisc!$BE$2)</f>
        <v/>
      </c>
      <c r="C201" s="208"/>
    </row>
    <row r="202" spans="1:3" x14ac:dyDescent="0.2">
      <c r="A202" s="208" t="s">
        <v>6097</v>
      </c>
      <c r="B202" t="str">
        <f>IF(ISBLANK(GlobBerMedDisc!$BE$3),"",GlobBerMedDisc!$BE$3)</f>
        <v/>
      </c>
      <c r="C202" s="208"/>
    </row>
    <row r="203" spans="1:3" x14ac:dyDescent="0.2">
      <c r="A203" s="208" t="s">
        <v>6098</v>
      </c>
      <c r="B203" t="str">
        <f>IF(ISBLANK(GlobBerMedDisc!$BE$4),"",GlobBerMedDisc!$BE$4)</f>
        <v/>
      </c>
      <c r="C203" s="208"/>
    </row>
    <row r="204" spans="1:3" x14ac:dyDescent="0.2">
      <c r="A204" s="208" t="s">
        <v>6099</v>
      </c>
      <c r="B204" t="str">
        <f>IF(ISBLANK(GlobBerMedDisc!$BE$5),"",GlobBerMedDisc!$BE$5)</f>
        <v/>
      </c>
      <c r="C204" s="208"/>
    </row>
    <row r="205" spans="1:3" x14ac:dyDescent="0.2">
      <c r="A205" s="208" t="s">
        <v>6100</v>
      </c>
      <c r="B205" t="str">
        <f>IF(ISBLANK(GlobBerMedDisc!$BE$6),"",GlobBerMedDisc!$BE$6)</f>
        <v/>
      </c>
      <c r="C205" s="208"/>
    </row>
    <row r="206" spans="1:3" x14ac:dyDescent="0.2">
      <c r="A206" s="208" t="s">
        <v>6101</v>
      </c>
      <c r="B206" t="str">
        <f>IF(ISBLANK(GlobBerMedDisc!$BE$7),"",GlobBerMedDisc!$BE$7)</f>
        <v/>
      </c>
      <c r="C206" s="208"/>
    </row>
    <row r="207" spans="1:3" x14ac:dyDescent="0.2">
      <c r="A207" s="208" t="s">
        <v>6102</v>
      </c>
      <c r="B207" t="str">
        <f>IF(ISBLANK(GlobBerMedDisc!$BE$8),"",GlobBerMedDisc!$BE$8)</f>
        <v/>
      </c>
      <c r="C207" s="208"/>
    </row>
    <row r="208" spans="1:3" x14ac:dyDescent="0.2">
      <c r="A208" s="208" t="s">
        <v>6103</v>
      </c>
      <c r="B208" t="str">
        <f>IF(ISBLANK(GlobBerMedDisc!$BE$9),"",GlobBerMedDisc!$BE$9)</f>
        <v/>
      </c>
      <c r="C208" s="208"/>
    </row>
    <row r="209" spans="1:3" x14ac:dyDescent="0.2">
      <c r="A209" s="208" t="s">
        <v>6104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6105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6106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6107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6108</v>
      </c>
      <c r="B213" t="str">
        <f>IF(ISBLANK(GlobBerMedDisc!$BE$14),"",GlobBerMedDisc!$BE$14)</f>
        <v/>
      </c>
      <c r="C213" s="208"/>
    </row>
    <row r="214" spans="1:3" x14ac:dyDescent="0.2">
      <c r="A214" s="208" t="s">
        <v>6109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6110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6111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6112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6113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6114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6115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6116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6117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6118</v>
      </c>
      <c r="B223" t="str">
        <f>IF(ISBLANK(GlobBerMedDisc!$BE$24),"",GlobBerMedDisc!$BE$24)</f>
        <v/>
      </c>
      <c r="C223" s="208"/>
    </row>
    <row r="224" spans="1:3" x14ac:dyDescent="0.2">
      <c r="A224" s="208" t="s">
        <v>6119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6120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6121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6122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6123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6124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6125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5539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5541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5543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5545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5547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5549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5551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5553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5555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5557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5559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5561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5563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5565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5567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5569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5571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5573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5575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5577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5579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5581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5583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5585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5587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5589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5591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5593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5595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5597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5887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5889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5891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5893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5895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5897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5899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5901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5903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5905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5907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5909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5911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5913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5915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5917</v>
      </c>
      <c r="B396" s="208" t="str">
        <f>IF(ISBLANK(GlobBerMedDisc!$BJ$17),"",GlobBerMedDisc!$BJ$17)</f>
        <v/>
      </c>
      <c r="F396"/>
    </row>
    <row r="397" spans="1:6" x14ac:dyDescent="0.2">
      <c r="A397" s="208" t="s">
        <v>5919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5921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5923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5925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5927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5929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5931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5933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5935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5937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5939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5941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5943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5945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5599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5601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5603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5605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5607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5609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5611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5613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5615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5617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5619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5621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5623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5625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5627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5629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5631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5633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5635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5637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5639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5641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5643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5645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5647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5649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5651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5653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5655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5657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5947</v>
      </c>
      <c r="B441" t="str">
        <f>IF(ISBLANK(GlobBerMedDisc!$BG$2),"",GlobBerMedDisc!$BG$2)</f>
        <v/>
      </c>
      <c r="C441" s="208"/>
    </row>
    <row r="442" spans="1:6" x14ac:dyDescent="0.2">
      <c r="A442" s="208" t="s">
        <v>5949</v>
      </c>
      <c r="B442" t="str">
        <f>IF(ISBLANK(GlobBerMedDisc!$BG$3),"",GlobBerMedDisc!$BG$3)</f>
        <v/>
      </c>
      <c r="C442" s="208"/>
    </row>
    <row r="443" spans="1:6" x14ac:dyDescent="0.2">
      <c r="A443" s="208" t="s">
        <v>5951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5953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5955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5957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5959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5961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5963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5965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5967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5969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5971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5973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5975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5977</v>
      </c>
      <c r="B456" t="str">
        <f>IF(ISBLANK(GlobBerMedDisc!$BG$17),"",GlobBerMedDisc!$BG$17)</f>
        <v/>
      </c>
      <c r="C456" s="208"/>
    </row>
    <row r="457" spans="1:6" x14ac:dyDescent="0.2">
      <c r="A457" s="208" t="s">
        <v>5979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5981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5983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5985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5987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5989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5991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5993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5995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5997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5999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6001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6003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6005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5659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5661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5663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5665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5667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5669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5671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5673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5675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5677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5679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5681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5683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5685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5687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5689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5691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5693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5695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5697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5699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5701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5703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5705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5707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5709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5711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5713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5715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5717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5719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5721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5723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5725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5727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5729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5731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5733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5735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5737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5739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5741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5743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5745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5747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5749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5751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5753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5755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5757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5759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5761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5763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5765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5767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5769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5771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5773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5775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5777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31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31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31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31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31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31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31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31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31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31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31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31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0</v>
      </c>
      <c r="C943" s="208">
        <v>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49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798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798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798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798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798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798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798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798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798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798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798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798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798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798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5287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31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  <c r="B1" s="99"/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5279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43002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24-sep-2017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37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41541)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5279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90" customWidth="1"/>
    <col min="2" max="2" width="6" style="490" customWidth="1"/>
    <col min="3" max="3" width="7.5703125" style="490" customWidth="1"/>
    <col min="4" max="4" width="4.28515625" style="490" customWidth="1"/>
    <col min="5" max="5" width="27" style="490" customWidth="1"/>
    <col min="6" max="6" width="13.42578125" style="490" customWidth="1"/>
    <col min="7" max="7" width="11.140625" style="490" customWidth="1"/>
    <col min="8" max="8" width="16.7109375" style="490" customWidth="1"/>
    <col min="9" max="9" width="16.5703125" style="490" customWidth="1"/>
    <col min="10" max="10" width="20.140625" style="490" customWidth="1"/>
    <col min="11" max="11" width="13.28515625" style="490" customWidth="1"/>
    <col min="12" max="12" width="9.140625" style="490"/>
    <col min="13" max="13" width="12.7109375" style="490" customWidth="1"/>
    <col min="14" max="15" width="9.140625" style="490"/>
    <col min="16" max="17" width="9.42578125" style="490" bestFit="1" customWidth="1"/>
    <col min="18" max="16384" width="9.140625" style="490"/>
  </cols>
  <sheetData>
    <row r="1" spans="1:84" s="355" customFormat="1" ht="17.25" customHeight="1" x14ac:dyDescent="0.2">
      <c r="A1" s="489"/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O1" s="779"/>
      <c r="P1" s="353"/>
      <c r="Q1" s="353"/>
      <c r="R1" s="353"/>
    </row>
    <row r="2" spans="1:84" s="355" customFormat="1" ht="17.25" customHeight="1" x14ac:dyDescent="0.2">
      <c r="B2" s="779"/>
      <c r="C2" s="779" t="s">
        <v>235</v>
      </c>
      <c r="D2" s="646"/>
      <c r="E2" s="647" t="str">
        <f ca="1">Txt_Pat_AfspraakDat</f>
        <v>24-sep-2017</v>
      </c>
      <c r="F2" s="648"/>
      <c r="G2" s="649"/>
      <c r="H2" s="647" t="s">
        <v>3496</v>
      </c>
      <c r="I2" s="650" t="str">
        <f>Txt_Pat_OpnameDat</f>
        <v/>
      </c>
      <c r="J2" s="651"/>
      <c r="K2" s="779" t="str">
        <f>Txt_Pat_Gewicht</f>
        <v>Gewicht:</v>
      </c>
      <c r="L2" s="647"/>
      <c r="M2" s="647" t="str">
        <f>Txt_Pat_Bed</f>
        <v/>
      </c>
      <c r="N2" s="779"/>
      <c r="O2" s="779"/>
      <c r="P2" s="353"/>
      <c r="Q2" s="353"/>
      <c r="R2" s="353"/>
    </row>
    <row r="3" spans="1:84" s="355" customFormat="1" ht="17.25" customHeight="1" x14ac:dyDescent="0.2">
      <c r="B3" s="779"/>
      <c r="C3" s="779" t="s">
        <v>27</v>
      </c>
      <c r="D3" s="644"/>
      <c r="E3" s="647" t="str">
        <f>Txt_Pat_FullName</f>
        <v/>
      </c>
      <c r="F3" s="652"/>
      <c r="G3" s="652"/>
      <c r="H3" s="647" t="s">
        <v>3497</v>
      </c>
      <c r="I3" s="650" t="str">
        <f ca="1">Txt_Pat_GeboorteDat</f>
        <v/>
      </c>
      <c r="J3" s="651"/>
      <c r="K3" s="779" t="str">
        <f>Txt_Pat_Lengte</f>
        <v>Lengte:</v>
      </c>
      <c r="L3" s="647"/>
      <c r="M3" s="647"/>
      <c r="N3" s="779"/>
      <c r="O3" s="779"/>
      <c r="P3" s="353"/>
      <c r="Q3" s="353"/>
      <c r="R3" s="353"/>
    </row>
    <row r="4" spans="1:84" s="355" customFormat="1" ht="17.25" customHeight="1" x14ac:dyDescent="0.2">
      <c r="B4" s="779"/>
      <c r="C4" s="779" t="s">
        <v>3493</v>
      </c>
      <c r="D4" s="779"/>
      <c r="E4" s="653" t="str">
        <f>Txt_Pat_PatNo</f>
        <v/>
      </c>
      <c r="F4" s="654"/>
      <c r="G4" s="649"/>
      <c r="H4" s="647" t="s">
        <v>213</v>
      </c>
      <c r="I4" s="779" t="str">
        <f ca="1">Txt_Pat_Leeftijd</f>
        <v/>
      </c>
      <c r="J4" s="655"/>
      <c r="K4" s="779" t="str">
        <f>Txt_Pat_Oppervlak</f>
        <v>Lichamelijk oppervlak:</v>
      </c>
      <c r="L4" s="647"/>
      <c r="M4" s="647"/>
      <c r="N4" s="779"/>
      <c r="O4" s="779"/>
      <c r="P4" s="354"/>
      <c r="Q4" s="354"/>
      <c r="R4" s="354"/>
    </row>
    <row r="5" spans="1:84" s="355" customFormat="1" ht="8.1" customHeight="1" x14ac:dyDescent="0.2">
      <c r="B5" s="779"/>
      <c r="C5" s="779"/>
      <c r="D5" s="779"/>
      <c r="E5" s="647"/>
      <c r="F5" s="647"/>
      <c r="G5" s="649"/>
      <c r="H5" s="647"/>
      <c r="I5" s="779"/>
      <c r="J5" s="655"/>
      <c r="K5" s="647"/>
      <c r="L5" s="647"/>
      <c r="M5" s="647"/>
      <c r="N5" s="779"/>
      <c r="O5" s="779"/>
      <c r="P5" s="354"/>
      <c r="Q5" s="354"/>
      <c r="R5" s="354"/>
    </row>
    <row r="6" spans="1:84" ht="8.1" customHeight="1" x14ac:dyDescent="0.2">
      <c r="C6" s="356"/>
      <c r="D6" s="357"/>
      <c r="E6" s="781"/>
      <c r="F6" s="358"/>
      <c r="G6" s="359"/>
      <c r="H6" s="781"/>
      <c r="I6" s="360"/>
      <c r="J6" s="781"/>
      <c r="K6" s="781"/>
      <c r="L6" s="781"/>
      <c r="M6" s="781"/>
      <c r="N6" s="781"/>
      <c r="O6" s="357"/>
      <c r="P6" s="354"/>
      <c r="Q6" s="354"/>
      <c r="R6" s="354"/>
      <c r="S6" s="357"/>
      <c r="T6" s="357"/>
      <c r="U6" s="357"/>
      <c r="V6" s="357"/>
      <c r="W6" s="357"/>
      <c r="X6" s="357"/>
      <c r="Y6" s="357"/>
      <c r="Z6" s="357"/>
      <c r="AA6" s="357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1"/>
      <c r="BO6" s="361"/>
      <c r="BP6" s="361"/>
      <c r="BQ6" s="361"/>
      <c r="BR6" s="361"/>
      <c r="BS6" s="361"/>
      <c r="BT6" s="361"/>
      <c r="BU6" s="361"/>
      <c r="BV6" s="361"/>
      <c r="BW6" s="361"/>
      <c r="BX6" s="361"/>
      <c r="BY6" s="361"/>
      <c r="BZ6" s="361"/>
      <c r="CA6" s="361"/>
      <c r="CB6" s="361"/>
      <c r="CC6" s="361"/>
      <c r="CD6" s="361"/>
      <c r="CE6" s="361"/>
      <c r="CF6" s="361"/>
    </row>
    <row r="7" spans="1:84" ht="20.100000000000001" customHeight="1" x14ac:dyDescent="0.2">
      <c r="B7" s="688" t="s">
        <v>3327</v>
      </c>
      <c r="C7" s="688"/>
      <c r="D7" s="688"/>
      <c r="E7" s="689" t="s">
        <v>261</v>
      </c>
      <c r="F7" s="688" t="s">
        <v>156</v>
      </c>
      <c r="G7" s="690" t="s">
        <v>241</v>
      </c>
      <c r="H7" s="690" t="s">
        <v>113</v>
      </c>
      <c r="I7" s="690" t="s">
        <v>43</v>
      </c>
      <c r="J7" s="690" t="s">
        <v>262</v>
      </c>
      <c r="K7" s="690" t="s">
        <v>3321</v>
      </c>
      <c r="L7" s="690" t="s">
        <v>86</v>
      </c>
      <c r="M7" s="690" t="s">
        <v>258</v>
      </c>
      <c r="N7" s="690"/>
      <c r="O7" s="690"/>
      <c r="P7" s="354"/>
      <c r="Q7" s="354"/>
      <c r="R7" s="354"/>
      <c r="S7" s="362"/>
      <c r="T7" s="362"/>
      <c r="U7" s="362"/>
      <c r="V7" s="354"/>
      <c r="W7" s="354"/>
      <c r="X7" s="354"/>
      <c r="Y7" s="354"/>
      <c r="Z7" s="354"/>
      <c r="AA7" s="354"/>
      <c r="AC7" s="361"/>
      <c r="AH7" s="361"/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1"/>
      <c r="BO7" s="361"/>
      <c r="BP7" s="361"/>
      <c r="BQ7" s="361"/>
      <c r="BR7" s="361"/>
      <c r="BS7" s="361"/>
      <c r="BT7" s="361"/>
      <c r="BU7" s="361"/>
      <c r="BV7" s="361"/>
      <c r="BW7" s="361"/>
      <c r="BX7" s="361"/>
      <c r="BY7" s="361"/>
      <c r="BZ7" s="361"/>
      <c r="CA7" s="361"/>
      <c r="CB7" s="361"/>
      <c r="CC7" s="361"/>
      <c r="CD7" s="361"/>
      <c r="CE7" s="361"/>
      <c r="CF7" s="361"/>
    </row>
    <row r="8" spans="1:84" ht="8.1" customHeight="1" x14ac:dyDescent="0.2">
      <c r="C8" s="357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53"/>
      <c r="Q8" s="353"/>
      <c r="R8" s="353"/>
      <c r="S8" s="357"/>
      <c r="T8" s="357"/>
      <c r="U8" s="357"/>
      <c r="V8" s="357"/>
      <c r="W8" s="357"/>
      <c r="X8" s="357"/>
      <c r="Y8" s="357"/>
      <c r="Z8" s="357"/>
      <c r="AA8" s="357"/>
      <c r="AC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1"/>
      <c r="BO8" s="361"/>
      <c r="BP8" s="361"/>
      <c r="BQ8" s="361"/>
      <c r="BR8" s="361"/>
      <c r="BS8" s="361"/>
      <c r="BT8" s="361"/>
      <c r="BU8" s="361"/>
      <c r="BV8" s="361"/>
      <c r="BW8" s="361"/>
      <c r="BX8" s="361"/>
      <c r="BY8" s="361"/>
      <c r="BZ8" s="361"/>
      <c r="CA8" s="361"/>
      <c r="CB8" s="361"/>
      <c r="CC8" s="361"/>
      <c r="CD8" s="361"/>
      <c r="CE8" s="361"/>
      <c r="CF8" s="361"/>
    </row>
    <row r="9" spans="1:84" ht="20.100000000000001" customHeight="1" thickBot="1" x14ac:dyDescent="0.25">
      <c r="B9" s="532" t="str">
        <f>PedBerMedIV!AD5</f>
        <v/>
      </c>
      <c r="C9" s="532" t="str">
        <f>PedBerMedIV!AE5</f>
        <v/>
      </c>
      <c r="D9" s="676">
        <v>1</v>
      </c>
      <c r="E9" s="536">
        <f>PedBerMedIV!C5</f>
        <v>1</v>
      </c>
      <c r="F9" s="537" t="str">
        <f>PedBerMedIV!AG5</f>
        <v/>
      </c>
      <c r="G9" s="537" t="str">
        <f>PedBerMedIV!AH5</f>
        <v/>
      </c>
      <c r="H9" s="506"/>
      <c r="I9" s="506" t="str">
        <f>PedBerMedIV!AJ5</f>
        <v/>
      </c>
      <c r="J9" s="506" t="str">
        <f>PedBerMedIV!AK5</f>
        <v/>
      </c>
      <c r="K9" s="506" t="str">
        <f>PedBerMedIV!AL5</f>
        <v/>
      </c>
      <c r="L9" s="506" t="str">
        <f>PedBerMedIV!AM5</f>
        <v/>
      </c>
      <c r="M9" s="506" t="str">
        <f>PedBerMedIV!AN5</f>
        <v/>
      </c>
      <c r="N9" s="506"/>
      <c r="O9" s="357"/>
      <c r="P9" s="354"/>
      <c r="Q9" s="354"/>
      <c r="R9" s="354"/>
      <c r="S9" s="357"/>
      <c r="T9" s="357"/>
      <c r="U9" s="357"/>
      <c r="V9" s="357"/>
      <c r="W9" s="357"/>
      <c r="X9" s="357"/>
      <c r="Y9" s="357"/>
      <c r="Z9" s="357"/>
      <c r="AA9" s="357"/>
      <c r="AC9" s="361"/>
      <c r="AD9" s="490">
        <f>IF(E9&lt;&gt;0,INDEX(Tbl_Ped_MedContIV,PedBerMedIV!$C5,6)*(PedBerMedIV!G5/10))</f>
        <v>0</v>
      </c>
      <c r="AE9" s="490">
        <f>IF(AD9&gt;=10,0,IF(AD9&gt;=1,1,IF(AD9&gt;=0,2,IF(AD9&gt;=0.1,3,IF(AD9&gt;=0.01,4,5)))))</f>
        <v>2</v>
      </c>
      <c r="AF9" s="490">
        <f>ROUND(AD9,AE9)</f>
        <v>0</v>
      </c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1"/>
      <c r="BO9" s="361"/>
      <c r="BP9" s="361"/>
      <c r="BQ9" s="361"/>
      <c r="BR9" s="361"/>
      <c r="BS9" s="361"/>
      <c r="BT9" s="361"/>
      <c r="BU9" s="361"/>
      <c r="BV9" s="361"/>
      <c r="BW9" s="361"/>
      <c r="BX9" s="361"/>
      <c r="BY9" s="361"/>
      <c r="BZ9" s="361"/>
      <c r="CA9" s="361"/>
      <c r="CB9" s="361"/>
      <c r="CC9" s="361"/>
      <c r="CD9" s="361"/>
      <c r="CE9" s="361"/>
      <c r="CF9" s="361"/>
    </row>
    <row r="10" spans="1:84" ht="20.100000000000001" customHeight="1" thickTop="1" thickBot="1" x14ac:dyDescent="0.25">
      <c r="B10" s="532" t="str">
        <f>PedBerMedIV!AD6</f>
        <v/>
      </c>
      <c r="C10" s="532" t="str">
        <f>PedBerMedIV!AE6</f>
        <v/>
      </c>
      <c r="D10" s="676">
        <v>2</v>
      </c>
      <c r="E10" s="491">
        <f>PedBerMedIV!C6</f>
        <v>1</v>
      </c>
      <c r="F10" s="493" t="str">
        <f>PedBerMedIV!AG6</f>
        <v/>
      </c>
      <c r="G10" s="493" t="str">
        <f>PedBerMedIV!AH6</f>
        <v/>
      </c>
      <c r="H10" s="495"/>
      <c r="I10" s="495" t="str">
        <f>PedBerMedIV!AJ6</f>
        <v/>
      </c>
      <c r="J10" s="495" t="str">
        <f>PedBerMedIV!AK6</f>
        <v/>
      </c>
      <c r="K10" s="495" t="str">
        <f>PedBerMedIV!AL6</f>
        <v/>
      </c>
      <c r="L10" s="495" t="str">
        <f>PedBerMedIV!AM6</f>
        <v/>
      </c>
      <c r="M10" s="495" t="str">
        <f>PedBerMedIV!AN6</f>
        <v/>
      </c>
      <c r="N10" s="495"/>
      <c r="O10" s="357"/>
      <c r="P10" s="353"/>
      <c r="Q10" s="353"/>
      <c r="R10" s="353"/>
      <c r="S10" s="357"/>
      <c r="T10" s="357"/>
      <c r="U10" s="357"/>
      <c r="V10" s="357"/>
      <c r="W10" s="357"/>
      <c r="X10" s="357"/>
      <c r="Y10" s="357"/>
      <c r="Z10" s="357"/>
      <c r="AA10" s="357"/>
      <c r="AC10" s="361"/>
      <c r="AD10" s="490">
        <f>IF(E10&lt;&gt;0,INDEX(Tbl_Ped_MedContIV,PedBerMedIV!$C6,6)*(PedBerMedIV!G6/10))</f>
        <v>0</v>
      </c>
      <c r="AE10" s="490">
        <f t="shared" ref="AE10:AE18" si="0">IF(AD10&gt;=10,0,IF(AD10&gt;=1,1,IF(AD10&gt;=0,2,IF(AD10&gt;=0.1,3,IF(AD10&gt;=0.01,4,5)))))</f>
        <v>2</v>
      </c>
      <c r="AF10" s="490">
        <f t="shared" ref="AF10:AF18" si="1">ROUND(AD10,AE10)</f>
        <v>0</v>
      </c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1"/>
      <c r="BC10" s="361"/>
      <c r="BD10" s="361"/>
      <c r="BE10" s="361"/>
      <c r="BF10" s="361"/>
      <c r="BG10" s="361"/>
      <c r="BH10" s="361"/>
      <c r="BI10" s="361"/>
      <c r="BJ10" s="361"/>
      <c r="BK10" s="361"/>
      <c r="BL10" s="361"/>
      <c r="BM10" s="361"/>
      <c r="BN10" s="361"/>
      <c r="BO10" s="361"/>
      <c r="BP10" s="361"/>
      <c r="BQ10" s="361"/>
      <c r="BR10" s="361"/>
      <c r="BS10" s="361"/>
      <c r="BT10" s="361"/>
      <c r="BU10" s="361"/>
      <c r="BV10" s="361"/>
      <c r="BW10" s="361"/>
      <c r="BX10" s="361"/>
      <c r="BY10" s="361"/>
      <c r="BZ10" s="361"/>
      <c r="CA10" s="361"/>
      <c r="CB10" s="361"/>
      <c r="CC10" s="361"/>
      <c r="CD10" s="361"/>
      <c r="CE10" s="361"/>
      <c r="CF10" s="361"/>
    </row>
    <row r="11" spans="1:84" ht="20.100000000000001" customHeight="1" thickTop="1" thickBot="1" x14ac:dyDescent="0.25">
      <c r="B11" s="532" t="str">
        <f>PedBerMedIV!AD7</f>
        <v/>
      </c>
      <c r="C11" s="532" t="str">
        <f>PedBerMedIV!AE7</f>
        <v/>
      </c>
      <c r="D11" s="676">
        <v>3</v>
      </c>
      <c r="E11" s="491">
        <f>PedBerMedIV!C7</f>
        <v>1</v>
      </c>
      <c r="F11" s="493" t="str">
        <f>PedBerMedIV!AG7</f>
        <v/>
      </c>
      <c r="G11" s="493" t="str">
        <f>PedBerMedIV!AH7</f>
        <v/>
      </c>
      <c r="H11" s="495"/>
      <c r="I11" s="495" t="str">
        <f>PedBerMedIV!AJ7</f>
        <v/>
      </c>
      <c r="J11" s="495" t="str">
        <f>PedBerMedIV!AK7</f>
        <v/>
      </c>
      <c r="K11" s="495" t="str">
        <f>PedBerMedIV!AL7</f>
        <v/>
      </c>
      <c r="L11" s="495" t="str">
        <f>PedBerMedIV!AM7</f>
        <v/>
      </c>
      <c r="M11" s="495" t="str">
        <f>PedBerMedIV!AN7</f>
        <v/>
      </c>
      <c r="N11" s="495"/>
      <c r="O11" s="357"/>
      <c r="P11" s="353"/>
      <c r="Q11" s="353"/>
      <c r="R11" s="353"/>
      <c r="S11" s="357"/>
      <c r="T11" s="357"/>
      <c r="U11" s="357"/>
      <c r="V11" s="357"/>
      <c r="W11" s="357"/>
      <c r="X11" s="357"/>
      <c r="Y11" s="357"/>
      <c r="Z11" s="357"/>
      <c r="AA11" s="357"/>
      <c r="AC11" s="361"/>
      <c r="AD11" s="490">
        <f>IF(E11&lt;&gt;0,INDEX(Tbl_Ped_MedContIV,PedBerMedIV!$C7,6)*(PedBerMedIV!G7/10))</f>
        <v>0</v>
      </c>
      <c r="AE11" s="490">
        <f t="shared" si="0"/>
        <v>2</v>
      </c>
      <c r="AF11" s="490">
        <f t="shared" si="1"/>
        <v>0</v>
      </c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</row>
    <row r="12" spans="1:84" ht="20.100000000000001" customHeight="1" thickTop="1" thickBot="1" x14ac:dyDescent="0.25">
      <c r="B12" s="532" t="str">
        <f>PedBerMedIV!AD8</f>
        <v/>
      </c>
      <c r="C12" s="532" t="str">
        <f>PedBerMedIV!AE8</f>
        <v/>
      </c>
      <c r="D12" s="676">
        <v>4</v>
      </c>
      <c r="E12" s="491">
        <f>PedBerMedIV!C8</f>
        <v>1</v>
      </c>
      <c r="F12" s="493" t="str">
        <f>PedBerMedIV!AG8</f>
        <v/>
      </c>
      <c r="G12" s="493" t="str">
        <f>PedBerMedIV!AH8</f>
        <v/>
      </c>
      <c r="H12" s="495"/>
      <c r="I12" s="495" t="str">
        <f>PedBerMedIV!AJ8</f>
        <v/>
      </c>
      <c r="J12" s="495" t="str">
        <f>PedBerMedIV!AK8</f>
        <v/>
      </c>
      <c r="K12" s="495" t="str">
        <f>PedBerMedIV!AL8</f>
        <v/>
      </c>
      <c r="L12" s="495" t="str">
        <f>PedBerMedIV!AM8</f>
        <v/>
      </c>
      <c r="M12" s="495" t="str">
        <f>PedBerMedIV!AN8</f>
        <v/>
      </c>
      <c r="N12" s="495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C12" s="361"/>
      <c r="AD12" s="490">
        <f>IF(E12&lt;&gt;0,INDEX(Tbl_Ped_MedContIV,PedBerMedIV!$C8,6)*(PedBerMedIV!G8/10))</f>
        <v>0</v>
      </c>
      <c r="AE12" s="490">
        <f t="shared" si="0"/>
        <v>2</v>
      </c>
      <c r="AF12" s="490">
        <f t="shared" si="1"/>
        <v>0</v>
      </c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61"/>
      <c r="AT12" s="361"/>
      <c r="AU12" s="361"/>
      <c r="AV12" s="361"/>
      <c r="AW12" s="361"/>
      <c r="AX12" s="361"/>
      <c r="AY12" s="361"/>
      <c r="AZ12" s="361"/>
      <c r="BA12" s="361"/>
      <c r="BB12" s="361"/>
      <c r="BC12" s="361"/>
      <c r="BD12" s="361"/>
      <c r="BE12" s="361"/>
      <c r="BF12" s="361"/>
      <c r="BG12" s="361"/>
      <c r="BH12" s="361"/>
      <c r="BI12" s="361"/>
      <c r="BJ12" s="361"/>
      <c r="BK12" s="361"/>
      <c r="BL12" s="361"/>
      <c r="BM12" s="361"/>
      <c r="BN12" s="361"/>
      <c r="BO12" s="361"/>
      <c r="BP12" s="361"/>
      <c r="BQ12" s="361"/>
      <c r="BR12" s="361"/>
      <c r="BS12" s="361"/>
      <c r="BT12" s="361"/>
      <c r="BU12" s="361"/>
      <c r="BV12" s="361"/>
      <c r="BW12" s="361"/>
      <c r="BX12" s="361"/>
      <c r="BY12" s="361"/>
      <c r="BZ12" s="361"/>
      <c r="CA12" s="361"/>
      <c r="CB12" s="361"/>
      <c r="CC12" s="361"/>
      <c r="CD12" s="361"/>
      <c r="CE12" s="361"/>
      <c r="CF12" s="361"/>
    </row>
    <row r="13" spans="1:84" ht="20.100000000000001" customHeight="1" thickTop="1" thickBot="1" x14ac:dyDescent="0.25">
      <c r="B13" s="532" t="str">
        <f>PedBerMedIV!AD9</f>
        <v/>
      </c>
      <c r="C13" s="532" t="str">
        <f>PedBerMedIV!AE9</f>
        <v/>
      </c>
      <c r="D13" s="676">
        <v>5</v>
      </c>
      <c r="E13" s="491">
        <f>PedBerMedIV!C9</f>
        <v>1</v>
      </c>
      <c r="F13" s="493" t="str">
        <f>PedBerMedIV!AG9</f>
        <v/>
      </c>
      <c r="G13" s="493" t="str">
        <f>PedBerMedIV!AH9</f>
        <v/>
      </c>
      <c r="H13" s="495"/>
      <c r="I13" s="495" t="str">
        <f>PedBerMedIV!AJ9</f>
        <v/>
      </c>
      <c r="J13" s="495" t="str">
        <f>PedBerMedIV!AK9</f>
        <v/>
      </c>
      <c r="K13" s="495" t="str">
        <f>PedBerMedIV!AL9</f>
        <v/>
      </c>
      <c r="L13" s="495" t="str">
        <f>PedBerMedIV!AM9</f>
        <v/>
      </c>
      <c r="M13" s="495" t="str">
        <f>PedBerMedIV!AN9</f>
        <v/>
      </c>
      <c r="N13" s="495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C13" s="361"/>
      <c r="AD13" s="490">
        <f>IF(E13&lt;&gt;0,INDEX(Tbl_Ped_MedContIV,PedBerMedIV!$C9,6)*(PedBerMedIV!G9/10))</f>
        <v>0</v>
      </c>
      <c r="AE13" s="490">
        <f t="shared" si="0"/>
        <v>2</v>
      </c>
      <c r="AF13" s="490">
        <f t="shared" si="1"/>
        <v>0</v>
      </c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D13" s="361"/>
      <c r="BE13" s="361"/>
      <c r="BF13" s="361"/>
      <c r="BG13" s="361"/>
      <c r="BH13" s="361"/>
      <c r="BI13" s="361"/>
      <c r="BJ13" s="361"/>
      <c r="BK13" s="361"/>
      <c r="BL13" s="361"/>
      <c r="BM13" s="361"/>
      <c r="BN13" s="361"/>
      <c r="BO13" s="361"/>
      <c r="BP13" s="361"/>
      <c r="BQ13" s="361"/>
      <c r="BR13" s="361"/>
      <c r="BS13" s="361"/>
      <c r="BT13" s="361"/>
      <c r="BU13" s="361"/>
      <c r="BV13" s="361"/>
      <c r="BW13" s="361"/>
      <c r="BX13" s="361"/>
      <c r="BY13" s="361"/>
      <c r="BZ13" s="361"/>
      <c r="CA13" s="361"/>
      <c r="CB13" s="361"/>
      <c r="CC13" s="361"/>
      <c r="CD13" s="361"/>
      <c r="CE13" s="361"/>
      <c r="CF13" s="361"/>
    </row>
    <row r="14" spans="1:84" ht="20.100000000000001" customHeight="1" thickTop="1" thickBot="1" x14ac:dyDescent="0.25">
      <c r="B14" s="532" t="str">
        <f>PedBerMedIV!AD10</f>
        <v/>
      </c>
      <c r="C14" s="532" t="str">
        <f>PedBerMedIV!AE10</f>
        <v/>
      </c>
      <c r="D14" s="676">
        <v>6</v>
      </c>
      <c r="E14" s="491">
        <f>PedBerMedIV!C10</f>
        <v>1</v>
      </c>
      <c r="F14" s="493" t="str">
        <f>PedBerMedIV!AG10</f>
        <v/>
      </c>
      <c r="G14" s="493" t="str">
        <f>PedBerMedIV!AH10</f>
        <v/>
      </c>
      <c r="H14" s="495"/>
      <c r="I14" s="495" t="str">
        <f>PedBerMedIV!AJ10</f>
        <v/>
      </c>
      <c r="J14" s="495" t="str">
        <f>PedBerMedIV!AK10</f>
        <v/>
      </c>
      <c r="K14" s="495" t="str">
        <f>PedBerMedIV!AL10</f>
        <v/>
      </c>
      <c r="L14" s="495" t="str">
        <f>PedBerMedIV!AM10</f>
        <v/>
      </c>
      <c r="M14" s="495" t="str">
        <f>PedBerMedIV!AN10</f>
        <v/>
      </c>
      <c r="N14" s="495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C14" s="361"/>
      <c r="AD14" s="490">
        <f>IF(E14&lt;&gt;0,INDEX(Tbl_Ped_MedContIV,PedBerMedIV!$C10,6)*(PedBerMedIV!G10/10))</f>
        <v>0</v>
      </c>
      <c r="AE14" s="490">
        <f t="shared" si="0"/>
        <v>2</v>
      </c>
      <c r="AF14" s="490">
        <f t="shared" si="1"/>
        <v>0</v>
      </c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61"/>
      <c r="BO14" s="361"/>
      <c r="BP14" s="361"/>
      <c r="BQ14" s="361"/>
      <c r="BR14" s="361"/>
      <c r="BS14" s="361"/>
      <c r="BT14" s="361"/>
      <c r="BU14" s="361"/>
      <c r="BV14" s="361"/>
      <c r="BW14" s="361"/>
      <c r="BX14" s="361"/>
      <c r="BY14" s="361"/>
      <c r="BZ14" s="361"/>
      <c r="CA14" s="361"/>
      <c r="CB14" s="361"/>
      <c r="CC14" s="361"/>
      <c r="CD14" s="361"/>
      <c r="CE14" s="361"/>
      <c r="CF14" s="361"/>
    </row>
    <row r="15" spans="1:84" ht="20.100000000000001" customHeight="1" thickTop="1" thickBot="1" x14ac:dyDescent="0.25">
      <c r="B15" s="532" t="str">
        <f>PedBerMedIV!AD11</f>
        <v/>
      </c>
      <c r="C15" s="532" t="str">
        <f>PedBerMedIV!AE11</f>
        <v/>
      </c>
      <c r="D15" s="676">
        <v>7</v>
      </c>
      <c r="E15" s="491">
        <f>PedBerMedIV!C11</f>
        <v>1</v>
      </c>
      <c r="F15" s="493" t="str">
        <f>PedBerMedIV!AG11</f>
        <v/>
      </c>
      <c r="G15" s="493" t="str">
        <f>PedBerMedIV!AH11</f>
        <v/>
      </c>
      <c r="H15" s="495"/>
      <c r="I15" s="495" t="str">
        <f>PedBerMedIV!AJ11</f>
        <v/>
      </c>
      <c r="J15" s="495" t="str">
        <f>PedBerMedIV!AK11</f>
        <v/>
      </c>
      <c r="K15" s="495" t="str">
        <f>PedBerMedIV!AL11</f>
        <v/>
      </c>
      <c r="L15" s="495" t="str">
        <f>PedBerMedIV!AM11</f>
        <v/>
      </c>
      <c r="M15" s="495" t="str">
        <f>PedBerMedIV!AN11</f>
        <v/>
      </c>
      <c r="N15" s="495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C15" s="361"/>
      <c r="AD15" s="490">
        <f>IF(E15&lt;&gt;0,INDEX(Tbl_Ped_MedContIV,PedBerMedIV!$C11,6)*(PedBerMedIV!G11/10))</f>
        <v>0</v>
      </c>
      <c r="AE15" s="490">
        <f t="shared" si="0"/>
        <v>2</v>
      </c>
      <c r="AF15" s="490">
        <f t="shared" si="1"/>
        <v>0</v>
      </c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1"/>
      <c r="BR15" s="361"/>
      <c r="BS15" s="361"/>
      <c r="BT15" s="361"/>
      <c r="BU15" s="361"/>
      <c r="BV15" s="361"/>
      <c r="BW15" s="361"/>
      <c r="BX15" s="361"/>
      <c r="BY15" s="361"/>
      <c r="BZ15" s="361"/>
      <c r="CA15" s="361"/>
      <c r="CB15" s="361"/>
      <c r="CC15" s="361"/>
      <c r="CD15" s="361"/>
      <c r="CE15" s="361"/>
      <c r="CF15" s="361"/>
    </row>
    <row r="16" spans="1:84" ht="20.100000000000001" customHeight="1" thickTop="1" thickBot="1" x14ac:dyDescent="0.25">
      <c r="B16" s="532" t="str">
        <f>PedBerMedIV!AD12</f>
        <v/>
      </c>
      <c r="C16" s="532" t="str">
        <f>PedBerMedIV!AE12</f>
        <v/>
      </c>
      <c r="D16" s="676">
        <v>8</v>
      </c>
      <c r="E16" s="491">
        <f>PedBerMedIV!C12</f>
        <v>1</v>
      </c>
      <c r="F16" s="493" t="str">
        <f>PedBerMedIV!AG12</f>
        <v/>
      </c>
      <c r="G16" s="493" t="str">
        <f>PedBerMedIV!AH12</f>
        <v/>
      </c>
      <c r="H16" s="495"/>
      <c r="I16" s="495" t="str">
        <f>PedBerMedIV!AJ12</f>
        <v/>
      </c>
      <c r="J16" s="495" t="str">
        <f>PedBerMedIV!AK12</f>
        <v/>
      </c>
      <c r="K16" s="495" t="str">
        <f>PedBerMedIV!AL12</f>
        <v/>
      </c>
      <c r="L16" s="495" t="str">
        <f>PedBerMedIV!AM12</f>
        <v/>
      </c>
      <c r="M16" s="495" t="str">
        <f>PedBerMedIV!AN12</f>
        <v/>
      </c>
      <c r="N16" s="495"/>
      <c r="O16" s="357"/>
      <c r="P16" s="357"/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A16" s="357"/>
      <c r="AC16" s="361"/>
      <c r="AD16" s="490">
        <f>IF(E16&lt;&gt;0,INDEX(Tbl_Ped_MedContIV,PedBerMedIV!$C12,6)*(PedBerMedIV!G12/10))</f>
        <v>0</v>
      </c>
      <c r="AE16" s="490">
        <f t="shared" si="0"/>
        <v>2</v>
      </c>
      <c r="AF16" s="490">
        <f t="shared" si="1"/>
        <v>0</v>
      </c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  <c r="BE16" s="361"/>
      <c r="BF16" s="361"/>
      <c r="BG16" s="361"/>
      <c r="BH16" s="361"/>
      <c r="BI16" s="361"/>
      <c r="BJ16" s="361"/>
      <c r="BK16" s="361"/>
      <c r="BL16" s="361"/>
      <c r="BM16" s="361"/>
      <c r="BN16" s="361"/>
      <c r="BO16" s="361"/>
      <c r="BP16" s="361"/>
      <c r="BQ16" s="361"/>
      <c r="BR16" s="361"/>
      <c r="BS16" s="361"/>
      <c r="BT16" s="361"/>
      <c r="BU16" s="361"/>
      <c r="BV16" s="361"/>
      <c r="BW16" s="361"/>
      <c r="BX16" s="361"/>
      <c r="BY16" s="361"/>
      <c r="BZ16" s="361"/>
      <c r="CA16" s="361"/>
      <c r="CB16" s="361"/>
      <c r="CC16" s="361"/>
      <c r="CD16" s="361"/>
      <c r="CE16" s="361"/>
      <c r="CF16" s="361"/>
    </row>
    <row r="17" spans="2:84" ht="20.100000000000001" customHeight="1" thickTop="1" thickBot="1" x14ac:dyDescent="0.25">
      <c r="B17" s="532" t="str">
        <f>PedBerMedIV!AD13</f>
        <v/>
      </c>
      <c r="C17" s="532" t="str">
        <f>PedBerMedIV!AE13</f>
        <v/>
      </c>
      <c r="D17" s="676">
        <v>9</v>
      </c>
      <c r="E17" s="491">
        <f>PedBerMedIV!C13</f>
        <v>1</v>
      </c>
      <c r="F17" s="493" t="str">
        <f>PedBerMedIV!AG13</f>
        <v/>
      </c>
      <c r="G17" s="493" t="str">
        <f>PedBerMedIV!AH13</f>
        <v/>
      </c>
      <c r="H17" s="495"/>
      <c r="I17" s="495" t="str">
        <f>PedBerMedIV!AJ13</f>
        <v/>
      </c>
      <c r="J17" s="495" t="str">
        <f>PedBerMedIV!AK13</f>
        <v/>
      </c>
      <c r="K17" s="495" t="str">
        <f>PedBerMedIV!AL13</f>
        <v/>
      </c>
      <c r="L17" s="495" t="str">
        <f>PedBerMedIV!AM13</f>
        <v/>
      </c>
      <c r="M17" s="495" t="str">
        <f>PedBerMedIV!AN13</f>
        <v/>
      </c>
      <c r="N17" s="495"/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C17" s="361"/>
      <c r="AD17" s="490">
        <f>IF(E17&lt;&gt;0,INDEX(Tbl_Ped_MedContIV,PedBerMedIV!$C13,6)*(PedBerMedIV!G13/10))</f>
        <v>0</v>
      </c>
      <c r="AE17" s="490">
        <f t="shared" si="0"/>
        <v>2</v>
      </c>
      <c r="AF17" s="490">
        <f t="shared" si="1"/>
        <v>0</v>
      </c>
      <c r="AH17" s="361"/>
      <c r="AI17" s="361"/>
      <c r="AJ17" s="361"/>
      <c r="AK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1"/>
      <c r="BR17" s="361"/>
      <c r="BS17" s="361"/>
      <c r="BT17" s="361"/>
      <c r="BU17" s="361"/>
      <c r="BV17" s="361"/>
      <c r="BW17" s="361"/>
      <c r="BX17" s="361"/>
      <c r="BY17" s="361"/>
      <c r="BZ17" s="361"/>
      <c r="CA17" s="361"/>
      <c r="CB17" s="361"/>
      <c r="CC17" s="361"/>
      <c r="CD17" s="361"/>
      <c r="CE17" s="361"/>
      <c r="CF17" s="361"/>
    </row>
    <row r="18" spans="2:84" ht="20.100000000000001" customHeight="1" thickTop="1" thickBot="1" x14ac:dyDescent="0.25">
      <c r="B18" s="532" t="str">
        <f>PedBerMedIV!AD14</f>
        <v/>
      </c>
      <c r="C18" s="532" t="str">
        <f>PedBerMedIV!AE14</f>
        <v/>
      </c>
      <c r="D18" s="676">
        <v>10</v>
      </c>
      <c r="E18" s="491">
        <f>PedBerMedIV!C14</f>
        <v>1</v>
      </c>
      <c r="F18" s="493" t="str">
        <f>PedBerMedIV!AG14</f>
        <v/>
      </c>
      <c r="G18" s="493" t="str">
        <f>PedBerMedIV!AH14</f>
        <v/>
      </c>
      <c r="H18" s="495"/>
      <c r="I18" s="495" t="str">
        <f>PedBerMedIV!AJ14</f>
        <v/>
      </c>
      <c r="J18" s="495" t="str">
        <f>PedBerMedIV!AK14</f>
        <v/>
      </c>
      <c r="K18" s="495" t="str">
        <f>PedBerMedIV!AL14</f>
        <v/>
      </c>
      <c r="L18" s="495" t="str">
        <f>PedBerMedIV!AM14</f>
        <v/>
      </c>
      <c r="M18" s="495" t="str">
        <f>PedBerMedIV!AN14</f>
        <v/>
      </c>
      <c r="N18" s="495"/>
      <c r="O18" s="357"/>
      <c r="P18" s="357"/>
      <c r="Q18" s="357"/>
      <c r="R18" s="357"/>
      <c r="S18" s="357"/>
      <c r="T18" s="357"/>
      <c r="U18" s="357"/>
      <c r="V18" s="357"/>
      <c r="W18" s="357"/>
      <c r="X18" s="357"/>
      <c r="Y18" s="357"/>
      <c r="Z18" s="357"/>
      <c r="AA18" s="357"/>
      <c r="AC18" s="361"/>
      <c r="AD18" s="490">
        <f>IF(E18&lt;&gt;0,INDEX(Tbl_Ped_MedContIV,PedBerMedIV!$C14,6)*(PedBerMedIV!G14/10))</f>
        <v>0</v>
      </c>
      <c r="AE18" s="490">
        <f t="shared" si="0"/>
        <v>2</v>
      </c>
      <c r="AF18" s="490">
        <f t="shared" si="1"/>
        <v>0</v>
      </c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1"/>
      <c r="CB18" s="361"/>
      <c r="CC18" s="361"/>
      <c r="CD18" s="361"/>
      <c r="CE18" s="361"/>
      <c r="CF18" s="361"/>
    </row>
    <row r="19" spans="2:84" ht="20.100000000000001" customHeight="1" thickTop="1" thickBot="1" x14ac:dyDescent="0.25">
      <c r="B19" s="532" t="str">
        <f>PedBerMedIV!AD15</f>
        <v/>
      </c>
      <c r="C19" s="532" t="str">
        <f>PedBerMedIV!AE15</f>
        <v/>
      </c>
      <c r="D19" s="676">
        <v>11</v>
      </c>
      <c r="E19" s="491">
        <f>PedBerMedIV!C15</f>
        <v>1</v>
      </c>
      <c r="F19" s="493" t="str">
        <f>PedBerMedIV!AG15</f>
        <v/>
      </c>
      <c r="G19" s="493" t="str">
        <f>PedBerMedIV!AH15</f>
        <v/>
      </c>
      <c r="H19" s="495"/>
      <c r="I19" s="495" t="str">
        <f>PedBerMedIV!AJ15</f>
        <v/>
      </c>
      <c r="J19" s="495" t="str">
        <f>PedBerMedIV!AK15</f>
        <v/>
      </c>
      <c r="K19" s="495" t="str">
        <f>PedBerMedIV!AL15</f>
        <v/>
      </c>
      <c r="L19" s="495" t="str">
        <f>PedBerMedIV!AM15</f>
        <v/>
      </c>
      <c r="M19" s="495" t="str">
        <f>PedBerMedIV!AN15</f>
        <v/>
      </c>
      <c r="N19" s="495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C19" s="361"/>
      <c r="AH19" s="361"/>
      <c r="AI19" s="361"/>
      <c r="AJ19" s="361"/>
      <c r="AK19" s="361"/>
      <c r="AL19" s="361"/>
      <c r="AM19" s="361"/>
      <c r="AN19" s="361"/>
      <c r="AO19" s="361"/>
      <c r="AP19" s="361"/>
      <c r="AQ19" s="361"/>
      <c r="AR19" s="361"/>
      <c r="AS19" s="361"/>
      <c r="AT19" s="361"/>
      <c r="AU19" s="361"/>
      <c r="AV19" s="361"/>
      <c r="AW19" s="361"/>
      <c r="AX19" s="361"/>
      <c r="AY19" s="361"/>
      <c r="AZ19" s="361"/>
      <c r="BA19" s="361"/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1"/>
      <c r="BR19" s="361"/>
      <c r="BS19" s="361"/>
      <c r="BT19" s="361"/>
      <c r="BU19" s="361"/>
      <c r="BV19" s="361"/>
      <c r="BW19" s="361"/>
      <c r="BX19" s="361"/>
      <c r="BY19" s="361"/>
      <c r="BZ19" s="361"/>
      <c r="CA19" s="361"/>
      <c r="CB19" s="361"/>
      <c r="CC19" s="361"/>
      <c r="CD19" s="361"/>
      <c r="CE19" s="361"/>
      <c r="CF19" s="361"/>
    </row>
    <row r="20" spans="2:84" ht="20.100000000000001" customHeight="1" thickTop="1" thickBot="1" x14ac:dyDescent="0.25">
      <c r="B20" s="532" t="str">
        <f>PedBerMedIV!AD16</f>
        <v/>
      </c>
      <c r="C20" s="532" t="str">
        <f>PedBerMedIV!AE16</f>
        <v/>
      </c>
      <c r="D20" s="676">
        <v>12</v>
      </c>
      <c r="E20" s="491">
        <f>PedBerMedIV!C16</f>
        <v>1</v>
      </c>
      <c r="F20" s="493" t="str">
        <f>PedBerMedIV!AG16</f>
        <v/>
      </c>
      <c r="G20" s="493" t="str">
        <f>PedBerMedIV!AH16</f>
        <v/>
      </c>
      <c r="H20" s="495"/>
      <c r="I20" s="495" t="str">
        <f>PedBerMedIV!AJ16</f>
        <v/>
      </c>
      <c r="J20" s="495" t="str">
        <f>PedBerMedIV!AK16</f>
        <v/>
      </c>
      <c r="K20" s="495" t="str">
        <f>PedBerMedIV!AL16</f>
        <v/>
      </c>
      <c r="L20" s="495" t="str">
        <f>PedBerMedIV!AM16</f>
        <v/>
      </c>
      <c r="M20" s="495" t="str">
        <f>PedBerMedIV!AN16</f>
        <v/>
      </c>
      <c r="N20" s="495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C20" s="361"/>
      <c r="AH20" s="361"/>
      <c r="AI20" s="361"/>
      <c r="AJ20" s="361"/>
      <c r="AK20" s="361"/>
      <c r="AL20" s="361"/>
      <c r="AM20" s="361"/>
      <c r="AN20" s="361"/>
      <c r="AO20" s="361"/>
      <c r="AP20" s="361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1"/>
      <c r="BN20" s="361"/>
      <c r="BO20" s="361"/>
      <c r="BP20" s="361"/>
      <c r="BQ20" s="361"/>
      <c r="BR20" s="361"/>
      <c r="BS20" s="361"/>
      <c r="BT20" s="361"/>
      <c r="BU20" s="361"/>
      <c r="BV20" s="361"/>
      <c r="BW20" s="361"/>
      <c r="BX20" s="361"/>
      <c r="BY20" s="361"/>
      <c r="BZ20" s="361"/>
      <c r="CA20" s="361"/>
      <c r="CB20" s="361"/>
      <c r="CC20" s="361"/>
      <c r="CD20" s="361"/>
      <c r="CE20" s="361"/>
      <c r="CF20" s="361"/>
    </row>
    <row r="21" spans="2:84" ht="20.100000000000001" customHeight="1" thickTop="1" thickBot="1" x14ac:dyDescent="0.25">
      <c r="B21" s="532" t="str">
        <f>PedBerMedIV!AD17</f>
        <v/>
      </c>
      <c r="C21" s="532" t="str">
        <f>PedBerMedIV!AE17</f>
        <v/>
      </c>
      <c r="D21" s="676">
        <v>13</v>
      </c>
      <c r="E21" s="491">
        <f>PedBerMedIV!C17</f>
        <v>1</v>
      </c>
      <c r="F21" s="493" t="str">
        <f>PedBerMedIV!AG17</f>
        <v/>
      </c>
      <c r="G21" s="493" t="str">
        <f>PedBerMedIV!AH17</f>
        <v/>
      </c>
      <c r="H21" s="495"/>
      <c r="I21" s="495" t="str">
        <f>PedBerMedIV!AJ17</f>
        <v/>
      </c>
      <c r="J21" s="495" t="str">
        <f>PedBerMedIV!AK17</f>
        <v/>
      </c>
      <c r="K21" s="495" t="str">
        <f>PedBerMedIV!AL17</f>
        <v/>
      </c>
      <c r="L21" s="495" t="str">
        <f>PedBerMedIV!AM17</f>
        <v/>
      </c>
      <c r="M21" s="495" t="str">
        <f>PedBerMedIV!AN17</f>
        <v/>
      </c>
      <c r="N21" s="495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C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1"/>
      <c r="BC21" s="361"/>
      <c r="BD21" s="361"/>
      <c r="BE21" s="361"/>
      <c r="BF21" s="361"/>
      <c r="BG21" s="361"/>
      <c r="BH21" s="361"/>
      <c r="BI21" s="361"/>
      <c r="BJ21" s="361"/>
      <c r="BK21" s="361"/>
      <c r="BL21" s="361"/>
      <c r="BM21" s="361"/>
      <c r="BN21" s="361"/>
      <c r="BO21" s="361"/>
      <c r="BP21" s="361"/>
      <c r="BQ21" s="361"/>
      <c r="BR21" s="361"/>
      <c r="BS21" s="361"/>
      <c r="BT21" s="361"/>
      <c r="BU21" s="361"/>
      <c r="BV21" s="361"/>
      <c r="BW21" s="361"/>
      <c r="BX21" s="361"/>
      <c r="BY21" s="361"/>
      <c r="BZ21" s="361"/>
      <c r="CA21" s="361"/>
      <c r="CB21" s="361"/>
      <c r="CC21" s="361"/>
      <c r="CD21" s="361"/>
      <c r="CE21" s="361"/>
      <c r="CF21" s="361"/>
    </row>
    <row r="22" spans="2:84" ht="20.100000000000001" customHeight="1" thickTop="1" thickBot="1" x14ac:dyDescent="0.25">
      <c r="B22" s="532" t="str">
        <f>PedBerMedIV!AD18</f>
        <v/>
      </c>
      <c r="C22" s="532" t="str">
        <f>PedBerMedIV!AE18</f>
        <v/>
      </c>
      <c r="D22" s="676">
        <v>14</v>
      </c>
      <c r="E22" s="491">
        <f>PedBerMedIV!C18</f>
        <v>1</v>
      </c>
      <c r="F22" s="493" t="str">
        <f>PedBerMedIV!AG18</f>
        <v/>
      </c>
      <c r="G22" s="493" t="str">
        <f>PedBerMedIV!AH18</f>
        <v/>
      </c>
      <c r="H22" s="495"/>
      <c r="I22" s="495" t="str">
        <f>PedBerMedIV!AJ18</f>
        <v/>
      </c>
      <c r="J22" s="495" t="str">
        <f>PedBerMedIV!AK18</f>
        <v/>
      </c>
      <c r="K22" s="495" t="str">
        <f>PedBerMedIV!AL18</f>
        <v/>
      </c>
      <c r="L22" s="495" t="str">
        <f>PedBerMedIV!AM18</f>
        <v/>
      </c>
      <c r="M22" s="495" t="str">
        <f>PedBerMedIV!AN18</f>
        <v/>
      </c>
      <c r="N22" s="495"/>
      <c r="O22" s="357"/>
      <c r="P22" s="357"/>
      <c r="Q22" s="357"/>
      <c r="R22" s="357"/>
      <c r="S22" s="357"/>
      <c r="T22" s="357"/>
      <c r="U22" s="357"/>
      <c r="V22" s="357"/>
      <c r="W22" s="357"/>
      <c r="X22" s="357"/>
      <c r="Y22" s="357"/>
      <c r="Z22" s="357"/>
      <c r="AA22" s="357"/>
      <c r="AC22" s="361"/>
      <c r="AH22" s="361"/>
      <c r="AI22" s="361"/>
      <c r="AJ22" s="361"/>
      <c r="AK22" s="361"/>
      <c r="AL22" s="361"/>
      <c r="AM22" s="361"/>
      <c r="AN22" s="361"/>
      <c r="AO22" s="361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1"/>
      <c r="BR22" s="361"/>
      <c r="BS22" s="361"/>
      <c r="BT22" s="361"/>
      <c r="BU22" s="361"/>
      <c r="BV22" s="361"/>
      <c r="BW22" s="361"/>
      <c r="BX22" s="361"/>
      <c r="BY22" s="361"/>
      <c r="BZ22" s="361"/>
      <c r="CA22" s="361"/>
      <c r="CB22" s="361"/>
      <c r="CC22" s="361"/>
      <c r="CD22" s="361"/>
      <c r="CE22" s="361"/>
      <c r="CF22" s="361"/>
    </row>
    <row r="23" spans="2:84" ht="20.100000000000001" customHeight="1" thickTop="1" thickBot="1" x14ac:dyDescent="0.25">
      <c r="B23" s="532" t="str">
        <f>PedBerMedIV!AD19</f>
        <v/>
      </c>
      <c r="C23" s="532" t="str">
        <f>PedBerMedIV!AE19</f>
        <v/>
      </c>
      <c r="D23" s="676">
        <v>15</v>
      </c>
      <c r="E23" s="492">
        <f>PedBerMedIV!C19</f>
        <v>1</v>
      </c>
      <c r="F23" s="494" t="str">
        <f>PedBerMedIV!AG19</f>
        <v/>
      </c>
      <c r="G23" s="494" t="str">
        <f>PedBerMedIV!AH19</f>
        <v/>
      </c>
      <c r="H23" s="480"/>
      <c r="I23" s="480" t="str">
        <f>PedBerMedIV!AJ19</f>
        <v/>
      </c>
      <c r="J23" s="480" t="str">
        <f>PedBerMedIV!AK19</f>
        <v/>
      </c>
      <c r="K23" s="480" t="str">
        <f>PedBerMedIV!AL19</f>
        <v/>
      </c>
      <c r="L23" s="480" t="str">
        <f>PedBerMedIV!AM19</f>
        <v/>
      </c>
      <c r="M23" s="480" t="str">
        <f>PedBerMedIV!AN19</f>
        <v/>
      </c>
      <c r="N23" s="480"/>
      <c r="O23" s="357"/>
      <c r="P23" s="357"/>
      <c r="Q23" s="357"/>
      <c r="R23" s="357"/>
      <c r="S23" s="357"/>
      <c r="T23" s="357"/>
      <c r="U23" s="357"/>
      <c r="V23" s="357"/>
      <c r="W23" s="357"/>
      <c r="X23" s="357"/>
      <c r="Y23" s="357"/>
      <c r="Z23" s="357"/>
      <c r="AA23" s="357"/>
      <c r="AC23" s="361"/>
      <c r="AH23" s="361"/>
      <c r="AI23" s="361"/>
      <c r="AJ23" s="361"/>
      <c r="AK23" s="361"/>
      <c r="AL23" s="361"/>
      <c r="AM23" s="361"/>
      <c r="AN23" s="361"/>
      <c r="AO23" s="361"/>
      <c r="AP23" s="361"/>
      <c r="AQ23" s="361"/>
      <c r="AR23" s="361"/>
      <c r="AS23" s="361"/>
      <c r="AT23" s="361"/>
      <c r="AU23" s="361"/>
      <c r="AV23" s="361"/>
      <c r="AW23" s="361"/>
      <c r="AX23" s="361"/>
      <c r="AY23" s="361"/>
      <c r="AZ23" s="361"/>
      <c r="BA23" s="361"/>
      <c r="BB23" s="361"/>
      <c r="BC23" s="361"/>
      <c r="BD23" s="361"/>
      <c r="BE23" s="361"/>
      <c r="BF23" s="361"/>
      <c r="BG23" s="361"/>
      <c r="BH23" s="361"/>
      <c r="BI23" s="361"/>
      <c r="BJ23" s="361"/>
      <c r="BK23" s="361"/>
      <c r="BL23" s="361"/>
      <c r="BM23" s="361"/>
      <c r="BN23" s="361"/>
      <c r="BO23" s="361"/>
      <c r="BP23" s="361"/>
      <c r="BQ23" s="361"/>
      <c r="BR23" s="361"/>
      <c r="BS23" s="361"/>
      <c r="BT23" s="361"/>
      <c r="BU23" s="361"/>
      <c r="BV23" s="361"/>
      <c r="BW23" s="361"/>
      <c r="BX23" s="361"/>
      <c r="BY23" s="361"/>
      <c r="BZ23" s="361"/>
      <c r="CA23" s="361"/>
      <c r="CB23" s="361"/>
      <c r="CC23" s="361"/>
      <c r="CD23" s="361"/>
      <c r="CE23" s="361"/>
      <c r="CF23" s="361"/>
    </row>
    <row r="24" spans="2:84" ht="20.100000000000001" customHeight="1" thickTop="1" x14ac:dyDescent="0.2">
      <c r="B24" s="533"/>
      <c r="C24" s="533"/>
      <c r="D24" s="363"/>
      <c r="E24" s="364"/>
      <c r="F24" s="364"/>
      <c r="G24" s="354"/>
      <c r="H24" s="354"/>
      <c r="I24" s="354"/>
      <c r="J24" s="354"/>
      <c r="K24" s="354"/>
      <c r="L24" s="357"/>
      <c r="M24" s="365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C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</row>
    <row r="25" spans="2:84" ht="20.100000000000001" customHeight="1" thickBot="1" x14ac:dyDescent="0.25">
      <c r="B25" s="532" t="str">
        <f>PedBerMedIV!AD21</f>
        <v/>
      </c>
      <c r="C25" s="533"/>
      <c r="D25" s="676">
        <v>16</v>
      </c>
      <c r="E25" s="538" t="str">
        <f>PedBerMedIV!AF21</f>
        <v/>
      </c>
      <c r="F25" s="538">
        <f>PedBerMedIV!AG21</f>
        <v>0</v>
      </c>
      <c r="G25" s="506" t="str">
        <f>PedBerMedIV!AH21</f>
        <v/>
      </c>
      <c r="H25" s="506"/>
      <c r="I25" s="506" t="str">
        <f>PedBerMedIV!AJ21</f>
        <v/>
      </c>
      <c r="J25" s="506" t="str">
        <f>PedBerMedIV!AK21</f>
        <v/>
      </c>
      <c r="K25" s="506"/>
      <c r="L25" s="506" t="str">
        <f>IF(PedBerMedIV!M21&lt;&gt;0,PedBerMedIV!M21&amp;" ml","")</f>
        <v/>
      </c>
      <c r="M25" s="506"/>
      <c r="N25" s="506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</row>
    <row r="26" spans="2:84" ht="20.100000000000001" customHeight="1" thickTop="1" thickBot="1" x14ac:dyDescent="0.25">
      <c r="B26" s="532" t="str">
        <f>PedBerMedIV!AD22</f>
        <v/>
      </c>
      <c r="C26" s="533"/>
      <c r="D26" s="676">
        <v>17</v>
      </c>
      <c r="E26" s="496" t="str">
        <f>PedBerMedIV!AF22</f>
        <v/>
      </c>
      <c r="F26" s="496">
        <f>PedBerMedIV!AG22</f>
        <v>0</v>
      </c>
      <c r="G26" s="495" t="str">
        <f>PedBerMedIV!AH22</f>
        <v/>
      </c>
      <c r="H26" s="495"/>
      <c r="I26" s="495" t="str">
        <f>PedBerMedIV!AJ22</f>
        <v/>
      </c>
      <c r="J26" s="495" t="str">
        <f>PedBerMedIV!AK22</f>
        <v/>
      </c>
      <c r="K26" s="495"/>
      <c r="L26" s="495" t="str">
        <f>IF(PedBerMedIV!M22&lt;&gt;0,PedBerMedIV!M22&amp;" ml","")</f>
        <v/>
      </c>
      <c r="M26" s="495"/>
      <c r="N26" s="495"/>
      <c r="O26" s="357"/>
      <c r="P26" s="357"/>
      <c r="Q26" s="357"/>
      <c r="R26" s="357"/>
      <c r="S26" s="357"/>
      <c r="T26" s="357"/>
      <c r="U26" s="357"/>
      <c r="V26" s="357"/>
      <c r="W26" s="357"/>
      <c r="X26" s="357"/>
      <c r="Y26" s="357"/>
      <c r="Z26" s="357"/>
      <c r="AA26" s="357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361"/>
      <c r="AQ26" s="361"/>
      <c r="AR26" s="361"/>
      <c r="AS26" s="361"/>
      <c r="AT26" s="361"/>
      <c r="AU26" s="361"/>
      <c r="AV26" s="361"/>
      <c r="AW26" s="361"/>
      <c r="AX26" s="361"/>
      <c r="AY26" s="361"/>
      <c r="AZ26" s="361"/>
      <c r="BA26" s="361"/>
      <c r="BB26" s="361"/>
      <c r="BC26" s="361"/>
      <c r="BD26" s="361"/>
      <c r="BE26" s="361"/>
      <c r="BF26" s="361"/>
      <c r="BG26" s="361"/>
      <c r="BH26" s="361"/>
      <c r="BI26" s="361"/>
      <c r="BJ26" s="361"/>
      <c r="BK26" s="361"/>
      <c r="BL26" s="361"/>
      <c r="BM26" s="361"/>
      <c r="BN26" s="361"/>
      <c r="BO26" s="361"/>
      <c r="BP26" s="361"/>
      <c r="BQ26" s="361"/>
      <c r="BR26" s="361"/>
      <c r="BS26" s="361"/>
      <c r="BT26" s="361"/>
      <c r="BU26" s="361"/>
      <c r="BV26" s="361"/>
      <c r="BW26" s="361"/>
      <c r="BX26" s="361"/>
      <c r="BY26" s="361"/>
      <c r="BZ26" s="361"/>
      <c r="CA26" s="361"/>
      <c r="CB26" s="361"/>
      <c r="CC26" s="361"/>
      <c r="CD26" s="361"/>
      <c r="CE26" s="361"/>
      <c r="CF26" s="361"/>
    </row>
    <row r="27" spans="2:84" ht="20.100000000000001" customHeight="1" thickTop="1" thickBot="1" x14ac:dyDescent="0.25">
      <c r="B27" s="532" t="str">
        <f>PedBerMedIV!AD23</f>
        <v/>
      </c>
      <c r="C27" s="533"/>
      <c r="D27" s="676">
        <v>18</v>
      </c>
      <c r="E27" s="496" t="str">
        <f>PedBerMedIV!AF23</f>
        <v/>
      </c>
      <c r="F27" s="496">
        <f>PedBerMedIV!AG23</f>
        <v>0</v>
      </c>
      <c r="G27" s="495" t="str">
        <f>PedBerMedIV!AH23</f>
        <v/>
      </c>
      <c r="H27" s="495"/>
      <c r="I27" s="495" t="str">
        <f>PedBerMedIV!AJ23</f>
        <v/>
      </c>
      <c r="J27" s="495" t="str">
        <f>PedBerMedIV!AK23</f>
        <v/>
      </c>
      <c r="K27" s="495"/>
      <c r="L27" s="495" t="str">
        <f>IF(PedBerMedIV!M23&lt;&gt;0,PedBerMedIV!M23&amp;" ml","")</f>
        <v/>
      </c>
      <c r="M27" s="495"/>
      <c r="N27" s="495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361"/>
      <c r="AQ27" s="361"/>
      <c r="AR27" s="361"/>
      <c r="AS27" s="361"/>
      <c r="AT27" s="361"/>
      <c r="AU27" s="361"/>
      <c r="AV27" s="361"/>
      <c r="AW27" s="361"/>
      <c r="AX27" s="361"/>
      <c r="AY27" s="361"/>
      <c r="AZ27" s="361"/>
      <c r="BA27" s="361"/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1"/>
      <c r="BR27" s="361"/>
      <c r="BS27" s="361"/>
      <c r="BT27" s="361"/>
      <c r="BU27" s="361"/>
      <c r="BV27" s="361"/>
      <c r="BW27" s="361"/>
      <c r="BX27" s="361"/>
      <c r="BY27" s="361"/>
      <c r="BZ27" s="361"/>
      <c r="CA27" s="361"/>
      <c r="CB27" s="361"/>
      <c r="CC27" s="361"/>
      <c r="CD27" s="361"/>
      <c r="CE27" s="361"/>
      <c r="CF27" s="361"/>
    </row>
    <row r="28" spans="2:84" ht="20.100000000000001" customHeight="1" thickTop="1" thickBot="1" x14ac:dyDescent="0.25">
      <c r="B28" s="532" t="str">
        <f>PedBerMedIV!AD24</f>
        <v/>
      </c>
      <c r="C28" s="533"/>
      <c r="D28" s="676">
        <v>19</v>
      </c>
      <c r="E28" s="496" t="str">
        <f>PedBerMedIV!AF24</f>
        <v/>
      </c>
      <c r="F28" s="496">
        <f>PedBerMedIV!AG24</f>
        <v>0</v>
      </c>
      <c r="G28" s="495" t="str">
        <f>PedBerMedIV!AH24</f>
        <v/>
      </c>
      <c r="H28" s="495"/>
      <c r="I28" s="495" t="str">
        <f>PedBerMedIV!AJ24</f>
        <v/>
      </c>
      <c r="J28" s="495" t="str">
        <f>PedBerMedIV!AK24</f>
        <v/>
      </c>
      <c r="K28" s="495"/>
      <c r="L28" s="495" t="str">
        <f>IF(PedBerMedIV!M24&lt;&gt;0,PedBerMedIV!M24&amp;" ml","")</f>
        <v/>
      </c>
      <c r="M28" s="495"/>
      <c r="N28" s="495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357"/>
      <c r="AA28" s="357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361"/>
      <c r="AQ28" s="361"/>
      <c r="AR28" s="361"/>
      <c r="AS28" s="361"/>
      <c r="AT28" s="361"/>
      <c r="AU28" s="361"/>
      <c r="AV28" s="361"/>
      <c r="AW28" s="361"/>
      <c r="AX28" s="361"/>
      <c r="AY28" s="361"/>
      <c r="AZ28" s="361"/>
      <c r="BA28" s="361"/>
      <c r="BB28" s="361"/>
      <c r="BC28" s="361"/>
      <c r="BD28" s="361"/>
      <c r="BE28" s="361"/>
      <c r="BF28" s="361"/>
      <c r="BG28" s="361"/>
      <c r="BH28" s="361"/>
      <c r="BI28" s="361"/>
      <c r="BJ28" s="361"/>
      <c r="BK28" s="361"/>
      <c r="BL28" s="361"/>
      <c r="BM28" s="361"/>
      <c r="BN28" s="361"/>
      <c r="BO28" s="361"/>
      <c r="BP28" s="361"/>
      <c r="BQ28" s="361"/>
      <c r="BR28" s="361"/>
      <c r="BS28" s="361"/>
      <c r="BT28" s="361"/>
      <c r="BU28" s="361"/>
      <c r="BV28" s="361"/>
      <c r="BW28" s="361"/>
      <c r="BX28" s="361"/>
      <c r="BY28" s="361"/>
      <c r="BZ28" s="361"/>
      <c r="CA28" s="361"/>
      <c r="CB28" s="361"/>
      <c r="CC28" s="361"/>
      <c r="CD28" s="361"/>
      <c r="CE28" s="361"/>
      <c r="CF28" s="361"/>
    </row>
    <row r="29" spans="2:84" ht="20.100000000000001" customHeight="1" thickTop="1" thickBot="1" x14ac:dyDescent="0.25">
      <c r="B29" s="532" t="str">
        <f>PedBerMedIV!AD25</f>
        <v/>
      </c>
      <c r="C29" s="533"/>
      <c r="D29" s="676">
        <v>20</v>
      </c>
      <c r="E29" s="497" t="str">
        <f>PedBerMedIV!AF25</f>
        <v/>
      </c>
      <c r="F29" s="497">
        <f>PedBerMedIV!AG25</f>
        <v>0</v>
      </c>
      <c r="G29" s="480" t="str">
        <f>PedBerMedIV!AH25</f>
        <v/>
      </c>
      <c r="H29" s="480"/>
      <c r="I29" s="480" t="str">
        <f>PedBerMedIV!AJ25</f>
        <v/>
      </c>
      <c r="J29" s="480" t="str">
        <f>PedBerMedIV!AK25</f>
        <v/>
      </c>
      <c r="K29" s="480"/>
      <c r="L29" s="480" t="str">
        <f>IF(PedBerMedIV!M25&lt;&gt;0,PedBerMedIV!M25&amp;" ml","")</f>
        <v/>
      </c>
      <c r="M29" s="480"/>
      <c r="N29" s="480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361"/>
      <c r="AQ29" s="361"/>
      <c r="AR29" s="361"/>
      <c r="AS29" s="361"/>
      <c r="AT29" s="361"/>
      <c r="AU29" s="361"/>
      <c r="AV29" s="361"/>
      <c r="AW29" s="361"/>
      <c r="AX29" s="361"/>
      <c r="AY29" s="361"/>
      <c r="AZ29" s="361"/>
      <c r="BA29" s="361"/>
      <c r="BB29" s="361"/>
      <c r="BC29" s="361"/>
      <c r="BD29" s="361"/>
      <c r="BE29" s="361"/>
      <c r="BF29" s="361"/>
      <c r="BG29" s="361"/>
      <c r="BH29" s="361"/>
      <c r="BI29" s="361"/>
      <c r="BJ29" s="361"/>
      <c r="BK29" s="361"/>
      <c r="BL29" s="361"/>
      <c r="BM29" s="361"/>
      <c r="BN29" s="361"/>
      <c r="BO29" s="361"/>
      <c r="BP29" s="361"/>
      <c r="BQ29" s="361"/>
      <c r="BR29" s="361"/>
      <c r="BS29" s="361"/>
      <c r="BT29" s="361"/>
      <c r="BU29" s="361"/>
      <c r="BV29" s="361"/>
      <c r="BW29" s="361"/>
      <c r="BX29" s="361"/>
      <c r="BY29" s="361"/>
      <c r="BZ29" s="361"/>
      <c r="CA29" s="361"/>
      <c r="CB29" s="361"/>
      <c r="CC29" s="361"/>
      <c r="CD29" s="361"/>
      <c r="CE29" s="361"/>
      <c r="CF29" s="361"/>
    </row>
    <row r="30" spans="2:84" ht="13.5" thickTop="1" x14ac:dyDescent="0.2">
      <c r="B30" s="533"/>
      <c r="C30" s="533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  <c r="O30" s="357"/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  <c r="AA30" s="357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361"/>
      <c r="AQ30" s="361"/>
      <c r="AR30" s="361"/>
      <c r="AS30" s="361"/>
      <c r="AT30" s="361"/>
      <c r="AU30" s="361"/>
      <c r="AV30" s="361"/>
      <c r="AW30" s="361"/>
      <c r="AX30" s="361"/>
      <c r="AY30" s="361"/>
      <c r="AZ30" s="361"/>
      <c r="BA30" s="361"/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1"/>
      <c r="BN30" s="361"/>
      <c r="BO30" s="361"/>
      <c r="BP30" s="361"/>
      <c r="BQ30" s="361"/>
      <c r="BR30" s="361"/>
      <c r="BS30" s="361"/>
      <c r="BT30" s="361"/>
      <c r="BU30" s="361"/>
      <c r="BV30" s="361"/>
      <c r="BW30" s="361"/>
      <c r="BX30" s="361"/>
      <c r="BY30" s="361"/>
      <c r="BZ30" s="361"/>
      <c r="CA30" s="361"/>
      <c r="CB30" s="361"/>
      <c r="CC30" s="361"/>
      <c r="CD30" s="361"/>
      <c r="CE30" s="361"/>
      <c r="CF30" s="361"/>
    </row>
    <row r="31" spans="2:84" x14ac:dyDescent="0.2">
      <c r="B31" s="375" t="str">
        <f>PedBerMedIV!AD29</f>
        <v/>
      </c>
      <c r="C31" s="533"/>
      <c r="D31" s="676" t="s">
        <v>184</v>
      </c>
      <c r="E31" s="675"/>
      <c r="F31" s="831">
        <f>PedBerMedIV!C29</f>
        <v>0</v>
      </c>
      <c r="G31" s="832"/>
      <c r="H31" s="832"/>
      <c r="I31" s="832"/>
      <c r="J31" s="832"/>
      <c r="K31" s="832"/>
      <c r="L31" s="832"/>
      <c r="M31" s="832"/>
      <c r="N31" s="832"/>
      <c r="O31" s="357"/>
      <c r="P31" s="366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</row>
    <row r="32" spans="2:84" x14ac:dyDescent="0.2">
      <c r="B32" s="533"/>
      <c r="C32" s="533"/>
      <c r="D32" s="676"/>
      <c r="E32" s="677"/>
      <c r="F32" s="832"/>
      <c r="G32" s="832"/>
      <c r="H32" s="832"/>
      <c r="I32" s="832"/>
      <c r="J32" s="832"/>
      <c r="K32" s="832"/>
      <c r="L32" s="832"/>
      <c r="M32" s="832"/>
      <c r="N32" s="832"/>
      <c r="O32" s="357"/>
      <c r="P32" s="366"/>
      <c r="Q32" s="357"/>
      <c r="R32" s="357"/>
      <c r="S32" s="357"/>
      <c r="T32" s="357"/>
      <c r="U32" s="357"/>
      <c r="V32" s="357"/>
      <c r="W32" s="357"/>
      <c r="X32" s="357"/>
      <c r="Y32" s="357"/>
      <c r="Z32" s="357"/>
      <c r="AA32" s="361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361"/>
      <c r="AQ32" s="361"/>
      <c r="AR32" s="361"/>
      <c r="AS32" s="361"/>
      <c r="AT32" s="361"/>
      <c r="AU32" s="361"/>
      <c r="AV32" s="361"/>
      <c r="AW32" s="361"/>
      <c r="AX32" s="361"/>
      <c r="AY32" s="361"/>
      <c r="AZ32" s="361"/>
      <c r="BA32" s="361"/>
      <c r="BB32" s="361"/>
      <c r="BC32" s="361"/>
      <c r="BD32" s="361"/>
      <c r="BE32" s="361"/>
      <c r="BF32" s="361"/>
      <c r="BG32" s="361"/>
      <c r="BH32" s="361"/>
      <c r="BI32" s="361"/>
      <c r="BJ32" s="361"/>
      <c r="BK32" s="361"/>
      <c r="BL32" s="361"/>
      <c r="BM32" s="361"/>
      <c r="BN32" s="361"/>
      <c r="BO32" s="361"/>
      <c r="BP32" s="361"/>
      <c r="BQ32" s="361"/>
      <c r="BR32" s="361"/>
      <c r="BS32" s="361"/>
      <c r="BT32" s="361"/>
      <c r="BU32" s="361"/>
      <c r="BV32" s="361"/>
      <c r="BW32" s="361"/>
      <c r="BX32" s="361"/>
      <c r="BY32" s="361"/>
      <c r="BZ32" s="361"/>
      <c r="CA32" s="361"/>
      <c r="CB32" s="361"/>
      <c r="CC32" s="361"/>
      <c r="CD32" s="361"/>
      <c r="CE32" s="361"/>
    </row>
    <row r="33" spans="2:84" x14ac:dyDescent="0.2">
      <c r="B33" s="533"/>
      <c r="C33" s="533"/>
      <c r="D33" s="676"/>
      <c r="E33" s="677"/>
      <c r="F33" s="832"/>
      <c r="G33" s="832"/>
      <c r="H33" s="832"/>
      <c r="I33" s="832"/>
      <c r="J33" s="832"/>
      <c r="K33" s="832"/>
      <c r="L33" s="832"/>
      <c r="M33" s="832"/>
      <c r="N33" s="832"/>
      <c r="O33" s="357"/>
      <c r="P33" s="366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61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361"/>
      <c r="AQ33" s="361"/>
      <c r="AR33" s="361"/>
      <c r="AS33" s="361"/>
      <c r="AT33" s="361"/>
      <c r="AU33" s="361"/>
      <c r="AV33" s="361"/>
      <c r="AW33" s="361"/>
      <c r="AX33" s="361"/>
      <c r="AY33" s="361"/>
      <c r="AZ33" s="361"/>
      <c r="BA33" s="361"/>
      <c r="BB33" s="361"/>
      <c r="BC33" s="361"/>
      <c r="BD33" s="361"/>
      <c r="BE33" s="361"/>
      <c r="BF33" s="361"/>
      <c r="BG33" s="361"/>
      <c r="BH33" s="361"/>
      <c r="BI33" s="361"/>
      <c r="BJ33" s="361"/>
      <c r="BK33" s="361"/>
      <c r="BL33" s="361"/>
      <c r="BM33" s="361"/>
      <c r="BN33" s="361"/>
      <c r="BO33" s="361"/>
      <c r="BP33" s="361"/>
      <c r="BQ33" s="361"/>
      <c r="BR33" s="361"/>
      <c r="BS33" s="361"/>
      <c r="BT33" s="361"/>
      <c r="BU33" s="361"/>
      <c r="BV33" s="361"/>
      <c r="BW33" s="361"/>
      <c r="BX33" s="361"/>
      <c r="BY33" s="361"/>
      <c r="BZ33" s="361"/>
      <c r="CA33" s="361"/>
      <c r="CB33" s="361"/>
      <c r="CC33" s="361"/>
      <c r="CD33" s="361"/>
      <c r="CE33" s="361"/>
    </row>
    <row r="34" spans="2:84" x14ac:dyDescent="0.2">
      <c r="P34" s="366"/>
      <c r="Q34" s="357"/>
      <c r="R34" s="357"/>
      <c r="S34" s="357"/>
      <c r="T34" s="357"/>
      <c r="U34" s="357"/>
      <c r="V34" s="357"/>
      <c r="W34" s="357"/>
      <c r="X34" s="357"/>
      <c r="Y34" s="357"/>
      <c r="Z34" s="357"/>
      <c r="AA34" s="361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361"/>
      <c r="AQ34" s="361"/>
      <c r="AR34" s="361"/>
      <c r="AS34" s="361"/>
      <c r="AT34" s="361"/>
      <c r="AU34" s="361"/>
      <c r="AV34" s="361"/>
      <c r="AW34" s="361"/>
      <c r="AX34" s="361"/>
      <c r="AY34" s="361"/>
      <c r="AZ34" s="361"/>
      <c r="BA34" s="361"/>
      <c r="BB34" s="361"/>
      <c r="BC34" s="361"/>
      <c r="BD34" s="361"/>
      <c r="BE34" s="361"/>
      <c r="BF34" s="361"/>
      <c r="BG34" s="361"/>
      <c r="BH34" s="361"/>
      <c r="BI34" s="361"/>
      <c r="BJ34" s="361"/>
      <c r="BK34" s="361"/>
      <c r="BL34" s="361"/>
      <c r="BM34" s="361"/>
      <c r="BN34" s="361"/>
      <c r="BO34" s="361"/>
      <c r="BP34" s="361"/>
      <c r="BQ34" s="361"/>
      <c r="BR34" s="361"/>
      <c r="BS34" s="361"/>
      <c r="BT34" s="361"/>
      <c r="BU34" s="361"/>
      <c r="BV34" s="361"/>
      <c r="BW34" s="361"/>
      <c r="BX34" s="361"/>
      <c r="BY34" s="361"/>
      <c r="BZ34" s="361"/>
      <c r="CA34" s="361"/>
      <c r="CB34" s="361"/>
      <c r="CC34" s="361"/>
      <c r="CD34" s="361"/>
      <c r="CE34" s="361"/>
    </row>
    <row r="35" spans="2:84" x14ac:dyDescent="0.2">
      <c r="B35" s="708"/>
      <c r="C35" s="708"/>
      <c r="D35" s="709"/>
      <c r="E35" s="709" t="s">
        <v>4811</v>
      </c>
      <c r="F35" s="709" t="s">
        <v>86</v>
      </c>
      <c r="G35" s="709"/>
      <c r="H35" s="709" t="s">
        <v>433</v>
      </c>
      <c r="I35" s="709"/>
      <c r="J35" s="709" t="s">
        <v>4811</v>
      </c>
      <c r="K35" s="709" t="s">
        <v>86</v>
      </c>
      <c r="L35" s="709"/>
      <c r="M35" s="709" t="s">
        <v>433</v>
      </c>
      <c r="N35" s="709"/>
      <c r="O35" s="709"/>
      <c r="P35" s="366"/>
      <c r="Q35" s="357"/>
      <c r="R35" s="357"/>
      <c r="S35" s="357"/>
      <c r="T35" s="357"/>
      <c r="U35" s="357"/>
      <c r="V35" s="357"/>
      <c r="W35" s="357"/>
      <c r="X35" s="357"/>
      <c r="Y35" s="357"/>
      <c r="Z35" s="357"/>
      <c r="AA35" s="361"/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361"/>
      <c r="AQ35" s="361"/>
      <c r="AR35" s="361"/>
      <c r="AS35" s="361"/>
      <c r="AT35" s="361"/>
      <c r="AU35" s="361"/>
      <c r="AV35" s="361"/>
      <c r="AW35" s="361"/>
      <c r="AX35" s="361"/>
      <c r="AY35" s="361"/>
      <c r="AZ35" s="361"/>
      <c r="BA35" s="361"/>
      <c r="BB35" s="361"/>
      <c r="BC35" s="361"/>
      <c r="BD35" s="361"/>
      <c r="BE35" s="361"/>
      <c r="BF35" s="361"/>
      <c r="BG35" s="361"/>
      <c r="BH35" s="361"/>
      <c r="BI35" s="361"/>
      <c r="BJ35" s="361"/>
      <c r="BK35" s="361"/>
      <c r="BL35" s="361"/>
      <c r="BM35" s="361"/>
      <c r="BN35" s="361"/>
      <c r="BO35" s="361"/>
      <c r="BP35" s="361"/>
      <c r="BQ35" s="361"/>
      <c r="BR35" s="361"/>
      <c r="BS35" s="361"/>
      <c r="BT35" s="361"/>
      <c r="BU35" s="361"/>
      <c r="BV35" s="361"/>
      <c r="BW35" s="361"/>
      <c r="BX35" s="361"/>
      <c r="BY35" s="361"/>
      <c r="BZ35" s="361"/>
      <c r="CA35" s="361"/>
      <c r="CB35" s="361"/>
      <c r="CC35" s="361"/>
      <c r="CD35" s="361"/>
      <c r="CE35" s="361"/>
    </row>
    <row r="36" spans="2:84" x14ac:dyDescent="0.2">
      <c r="B36" s="708"/>
      <c r="C36" s="708"/>
      <c r="D36" s="709"/>
      <c r="E36" s="710" t="s">
        <v>267</v>
      </c>
      <c r="F36" s="710" t="str">
        <f t="shared" ref="F36:F42" si="2">VLOOKUP($E36,Tbl_Ped_Totalen, 13,FALSE)</f>
        <v>0 ml/kg</v>
      </c>
      <c r="G36" s="710"/>
      <c r="H36" s="710" t="str">
        <f t="shared" ref="H36:H42" ca="1" si="3">VLOOKUP($E36,Tbl_Ped_Totalen, 10,FALSE)</f>
        <v>150 ml/kg</v>
      </c>
      <c r="I36" s="710"/>
      <c r="J36" s="710"/>
      <c r="K36" s="710"/>
      <c r="L36" s="710"/>
      <c r="M36" s="710"/>
      <c r="N36" s="710"/>
      <c r="O36" s="709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361"/>
      <c r="AQ36" s="361"/>
      <c r="AR36" s="361"/>
      <c r="AS36" s="361"/>
      <c r="AT36" s="361"/>
      <c r="AU36" s="361"/>
      <c r="AV36" s="361"/>
      <c r="AW36" s="361"/>
      <c r="AX36" s="361"/>
      <c r="AY36" s="361"/>
      <c r="AZ36" s="361"/>
      <c r="BA36" s="361"/>
      <c r="BB36" s="361"/>
      <c r="BC36" s="361"/>
      <c r="BD36" s="361"/>
      <c r="BE36" s="361"/>
      <c r="BF36" s="361"/>
      <c r="BG36" s="361"/>
      <c r="BH36" s="361"/>
      <c r="BI36" s="361"/>
      <c r="BJ36" s="361"/>
      <c r="BK36" s="361"/>
      <c r="BL36" s="361"/>
      <c r="BM36" s="361"/>
      <c r="BN36" s="361"/>
      <c r="BO36" s="361"/>
      <c r="BP36" s="361"/>
      <c r="BQ36" s="361"/>
      <c r="BR36" s="361"/>
      <c r="BS36" s="361"/>
      <c r="BT36" s="361"/>
      <c r="BU36" s="361"/>
      <c r="BV36" s="361"/>
      <c r="BW36" s="361"/>
      <c r="BX36" s="361"/>
      <c r="BY36" s="361"/>
      <c r="BZ36" s="361"/>
      <c r="CA36" s="361"/>
      <c r="CB36" s="361"/>
      <c r="CC36" s="361"/>
      <c r="CD36" s="361"/>
      <c r="CE36" s="361"/>
      <c r="CF36" s="361"/>
    </row>
    <row r="37" spans="2:84" x14ac:dyDescent="0.2">
      <c r="B37" s="708"/>
      <c r="C37" s="708"/>
      <c r="D37" s="709"/>
      <c r="E37" s="710" t="s">
        <v>178</v>
      </c>
      <c r="F37" s="710" t="str">
        <f t="shared" si="2"/>
        <v>0 kcal/kg</v>
      </c>
      <c r="G37" s="710"/>
      <c r="H37" s="710" t="str">
        <f t="shared" si="3"/>
        <v xml:space="preserve"> kcal/kg</v>
      </c>
      <c r="I37" s="710"/>
      <c r="J37" s="710" t="s">
        <v>268</v>
      </c>
      <c r="K37" s="710" t="str">
        <f t="shared" ref="K37:K42" si="4">VLOOKUP($J37,Tbl_Ped_Totalen, 13,FALSE)</f>
        <v>0 mmol/kg</v>
      </c>
      <c r="L37" s="710"/>
      <c r="M37" s="710" t="str">
        <f t="shared" ref="M37:M42" si="5">VLOOKUP($J37,Tbl_Ped_Totalen, 10,FALSE)</f>
        <v>2-4 mmol/kg</v>
      </c>
      <c r="N37" s="710"/>
      <c r="O37" s="709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361"/>
      <c r="AQ37" s="361"/>
      <c r="AR37" s="361"/>
      <c r="AS37" s="361"/>
      <c r="AT37" s="361"/>
      <c r="AU37" s="361"/>
      <c r="AV37" s="361"/>
      <c r="AW37" s="361"/>
      <c r="AX37" s="361"/>
      <c r="AY37" s="361"/>
      <c r="AZ37" s="361"/>
      <c r="BA37" s="361"/>
      <c r="BB37" s="361"/>
      <c r="BC37" s="361"/>
      <c r="BD37" s="361"/>
      <c r="BE37" s="361"/>
      <c r="BF37" s="361"/>
      <c r="BG37" s="361"/>
      <c r="BH37" s="361"/>
      <c r="BI37" s="361"/>
      <c r="BJ37" s="361"/>
      <c r="BK37" s="361"/>
      <c r="BL37" s="361"/>
      <c r="BM37" s="361"/>
      <c r="BN37" s="361"/>
      <c r="BO37" s="361"/>
      <c r="BP37" s="361"/>
      <c r="BQ37" s="361"/>
      <c r="BR37" s="361"/>
      <c r="BS37" s="361"/>
      <c r="BT37" s="361"/>
      <c r="BU37" s="361"/>
      <c r="BV37" s="361"/>
      <c r="BW37" s="361"/>
      <c r="BX37" s="361"/>
      <c r="BY37" s="361"/>
      <c r="BZ37" s="361"/>
      <c r="CA37" s="361"/>
      <c r="CB37" s="361"/>
      <c r="CC37" s="361"/>
      <c r="CD37" s="361"/>
      <c r="CE37" s="361"/>
      <c r="CF37" s="361"/>
    </row>
    <row r="38" spans="2:84" x14ac:dyDescent="0.2">
      <c r="B38" s="708"/>
      <c r="C38" s="708"/>
      <c r="D38" s="709"/>
      <c r="E38" s="710" t="s">
        <v>143</v>
      </c>
      <c r="F38" s="710" t="str">
        <f t="shared" si="2"/>
        <v>0 gram/kg</v>
      </c>
      <c r="G38" s="710"/>
      <c r="H38" s="710" t="str">
        <f t="shared" si="3"/>
        <v xml:space="preserve"> gram/kg</v>
      </c>
      <c r="I38" s="710"/>
      <c r="J38" s="710" t="s">
        <v>269</v>
      </c>
      <c r="K38" s="710" t="str">
        <f t="shared" si="4"/>
        <v>0 mmol/kg</v>
      </c>
      <c r="L38" s="710"/>
      <c r="M38" s="710" t="str">
        <f t="shared" si="5"/>
        <v>1-2 mmol/kg</v>
      </c>
      <c r="N38" s="710"/>
      <c r="O38" s="709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361"/>
      <c r="AQ38" s="361"/>
      <c r="AR38" s="361"/>
      <c r="AS38" s="361"/>
      <c r="AT38" s="361"/>
      <c r="AU38" s="361"/>
      <c r="AV38" s="361"/>
      <c r="AW38" s="361"/>
      <c r="AX38" s="361"/>
      <c r="AY38" s="361"/>
      <c r="AZ38" s="361"/>
      <c r="BA38" s="361"/>
      <c r="BB38" s="361"/>
      <c r="BC38" s="361"/>
      <c r="BD38" s="361"/>
      <c r="BE38" s="361"/>
      <c r="BF38" s="361"/>
      <c r="BG38" s="361"/>
      <c r="BH38" s="361"/>
      <c r="BI38" s="361"/>
      <c r="BJ38" s="361"/>
      <c r="BK38" s="361"/>
      <c r="BL38" s="361"/>
      <c r="BM38" s="361"/>
      <c r="BN38" s="361"/>
      <c r="BO38" s="361"/>
      <c r="BP38" s="361"/>
      <c r="BQ38" s="361"/>
      <c r="BR38" s="361"/>
      <c r="BS38" s="361"/>
      <c r="BT38" s="361"/>
      <c r="BU38" s="361"/>
      <c r="BV38" s="361"/>
      <c r="BW38" s="361"/>
      <c r="BX38" s="361"/>
      <c r="BY38" s="361"/>
      <c r="BZ38" s="361"/>
      <c r="CA38" s="361"/>
      <c r="CB38" s="361"/>
      <c r="CC38" s="361"/>
      <c r="CD38" s="361"/>
      <c r="CE38" s="361"/>
      <c r="CF38" s="361"/>
    </row>
    <row r="39" spans="2:84" x14ac:dyDescent="0.2">
      <c r="B39" s="708"/>
      <c r="C39" s="708"/>
      <c r="D39" s="709"/>
      <c r="E39" s="710" t="s">
        <v>147</v>
      </c>
      <c r="F39" s="710" t="str">
        <f t="shared" si="2"/>
        <v>0 gram/kg</v>
      </c>
      <c r="G39" s="710"/>
      <c r="H39" s="710" t="str">
        <f t="shared" si="3"/>
        <v xml:space="preserve"> gram/kg</v>
      </c>
      <c r="I39" s="710"/>
      <c r="J39" s="710" t="s">
        <v>824</v>
      </c>
      <c r="K39" s="710" t="str">
        <f t="shared" si="4"/>
        <v>0 mmol/kg</v>
      </c>
      <c r="L39" s="710"/>
      <c r="M39" s="710" t="str">
        <f t="shared" si="5"/>
        <v/>
      </c>
      <c r="N39" s="710"/>
      <c r="O39" s="709"/>
      <c r="P39" s="357"/>
      <c r="Q39" s="357"/>
      <c r="R39" s="357"/>
      <c r="S39" s="357"/>
      <c r="T39" s="357"/>
      <c r="U39" s="357"/>
      <c r="V39" s="357"/>
      <c r="W39" s="357"/>
      <c r="X39" s="357"/>
      <c r="Y39" s="357"/>
      <c r="Z39" s="357"/>
      <c r="AA39" s="357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361"/>
      <c r="AQ39" s="361"/>
      <c r="AR39" s="361"/>
      <c r="AS39" s="361"/>
      <c r="AT39" s="361"/>
      <c r="AU39" s="361"/>
      <c r="AV39" s="361"/>
      <c r="AW39" s="361"/>
      <c r="AX39" s="361"/>
      <c r="AY39" s="361"/>
      <c r="AZ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  <c r="BN39" s="361"/>
      <c r="BO39" s="361"/>
      <c r="BP39" s="361"/>
      <c r="BQ39" s="361"/>
      <c r="BR39" s="361"/>
      <c r="BS39" s="361"/>
      <c r="BT39" s="361"/>
      <c r="BU39" s="361"/>
      <c r="BV39" s="361"/>
      <c r="BW39" s="361"/>
      <c r="BX39" s="361"/>
      <c r="BY39" s="361"/>
      <c r="BZ39" s="361"/>
      <c r="CA39" s="361"/>
      <c r="CB39" s="361"/>
      <c r="CC39" s="361"/>
      <c r="CD39" s="361"/>
      <c r="CE39" s="361"/>
      <c r="CF39" s="361"/>
    </row>
    <row r="40" spans="2:84" x14ac:dyDescent="0.2">
      <c r="B40" s="708"/>
      <c r="C40" s="708"/>
      <c r="D40" s="709"/>
      <c r="E40" s="710" t="s">
        <v>148</v>
      </c>
      <c r="F40" s="710" t="str">
        <f t="shared" si="2"/>
        <v>0 gram/kg</v>
      </c>
      <c r="G40" s="710"/>
      <c r="H40" s="710" t="str">
        <f t="shared" si="3"/>
        <v xml:space="preserve"> gram/kg</v>
      </c>
      <c r="I40" s="710"/>
      <c r="J40" s="710" t="s">
        <v>144</v>
      </c>
      <c r="K40" s="710" t="str">
        <f t="shared" si="4"/>
        <v>0 mmol/kg</v>
      </c>
      <c r="L40" s="710"/>
      <c r="M40" s="710" t="str">
        <f t="shared" si="5"/>
        <v>0,8 mmol/kg</v>
      </c>
      <c r="N40" s="710"/>
      <c r="O40" s="709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1"/>
      <c r="BN40" s="361"/>
      <c r="BO40" s="361"/>
      <c r="BP40" s="361"/>
      <c r="BQ40" s="361"/>
      <c r="BR40" s="361"/>
      <c r="BS40" s="361"/>
      <c r="BT40" s="361"/>
      <c r="BU40" s="361"/>
      <c r="BV40" s="361"/>
      <c r="BW40" s="361"/>
      <c r="BX40" s="361"/>
      <c r="BY40" s="361"/>
      <c r="BZ40" s="361"/>
      <c r="CA40" s="361"/>
      <c r="CB40" s="361"/>
      <c r="CC40" s="361"/>
      <c r="CD40" s="361"/>
      <c r="CE40" s="361"/>
      <c r="CF40" s="361"/>
    </row>
    <row r="41" spans="2:84" x14ac:dyDescent="0.2">
      <c r="B41" s="709"/>
      <c r="C41" s="709"/>
      <c r="D41" s="709"/>
      <c r="E41" s="710" t="s">
        <v>825</v>
      </c>
      <c r="F41" s="710" t="str">
        <f t="shared" si="2"/>
        <v>0 IE/kg</v>
      </c>
      <c r="G41" s="710"/>
      <c r="H41" s="710" t="str">
        <f t="shared" si="3"/>
        <v/>
      </c>
      <c r="I41" s="710"/>
      <c r="J41" s="710" t="s">
        <v>146</v>
      </c>
      <c r="K41" s="710" t="str">
        <f t="shared" si="4"/>
        <v>0 mmol/kg</v>
      </c>
      <c r="L41" s="710"/>
      <c r="M41" s="710" t="str">
        <f t="shared" si="5"/>
        <v>0,1-0,3 mmol/kg</v>
      </c>
      <c r="N41" s="710"/>
      <c r="O41" s="709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361"/>
      <c r="AQ41" s="361"/>
      <c r="AR41" s="361"/>
      <c r="AS41" s="361"/>
      <c r="AT41" s="361"/>
      <c r="AU41" s="361"/>
      <c r="AV41" s="361"/>
      <c r="AW41" s="361"/>
      <c r="AX41" s="361"/>
      <c r="AY41" s="361"/>
      <c r="AZ41" s="361"/>
      <c r="BA41" s="361"/>
      <c r="BB41" s="361"/>
      <c r="BC41" s="361"/>
      <c r="BD41" s="361"/>
      <c r="BE41" s="361"/>
      <c r="BF41" s="361"/>
      <c r="BG41" s="361"/>
      <c r="BH41" s="361"/>
      <c r="BI41" s="361"/>
      <c r="BJ41" s="361"/>
      <c r="BK41" s="361"/>
      <c r="BL41" s="361"/>
      <c r="BM41" s="361"/>
      <c r="BN41" s="361"/>
      <c r="BO41" s="361"/>
      <c r="BP41" s="361"/>
      <c r="BQ41" s="361"/>
      <c r="BR41" s="361"/>
      <c r="BS41" s="361"/>
      <c r="BT41" s="361"/>
      <c r="BU41" s="361"/>
      <c r="BV41" s="361"/>
      <c r="BW41" s="361"/>
      <c r="BX41" s="361"/>
      <c r="BY41" s="361"/>
      <c r="BZ41" s="361"/>
      <c r="CA41" s="361"/>
      <c r="CB41" s="361"/>
      <c r="CC41" s="361"/>
      <c r="CD41" s="361"/>
      <c r="CE41" s="361"/>
      <c r="CF41" s="361"/>
    </row>
    <row r="42" spans="2:84" x14ac:dyDescent="0.2">
      <c r="B42" s="709"/>
      <c r="C42" s="709"/>
      <c r="D42" s="709"/>
      <c r="E42" s="710" t="s">
        <v>826</v>
      </c>
      <c r="F42" s="710" t="str">
        <f t="shared" si="2"/>
        <v>0 mmol/kg</v>
      </c>
      <c r="G42" s="710"/>
      <c r="H42" s="710" t="str">
        <f t="shared" si="3"/>
        <v/>
      </c>
      <c r="I42" s="710"/>
      <c r="J42" s="710" t="s">
        <v>145</v>
      </c>
      <c r="K42" s="710" t="str">
        <f t="shared" si="4"/>
        <v>0 mmol/kg</v>
      </c>
      <c r="L42" s="710"/>
      <c r="M42" s="710" t="str">
        <f t="shared" si="5"/>
        <v>0,75 mmol/kg</v>
      </c>
      <c r="N42" s="710"/>
      <c r="O42" s="709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361"/>
      <c r="AQ42" s="361"/>
      <c r="AR42" s="361"/>
      <c r="AS42" s="361"/>
      <c r="AT42" s="361"/>
      <c r="AU42" s="361"/>
      <c r="AV42" s="361"/>
      <c r="AW42" s="361"/>
      <c r="AX42" s="361"/>
      <c r="AY42" s="361"/>
      <c r="AZ42" s="361"/>
      <c r="BA42" s="361"/>
      <c r="BB42" s="361"/>
      <c r="BC42" s="361"/>
      <c r="BD42" s="361"/>
      <c r="BE42" s="361"/>
      <c r="BF42" s="361"/>
      <c r="BG42" s="361"/>
      <c r="BH42" s="361"/>
      <c r="BI42" s="361"/>
      <c r="BJ42" s="361"/>
      <c r="BK42" s="361"/>
      <c r="BL42" s="361"/>
      <c r="BM42" s="361"/>
      <c r="BN42" s="361"/>
      <c r="BO42" s="361"/>
      <c r="BP42" s="361"/>
      <c r="BQ42" s="361"/>
      <c r="BR42" s="361"/>
      <c r="BS42" s="361"/>
      <c r="BT42" s="361"/>
      <c r="BU42" s="361"/>
      <c r="BV42" s="361"/>
      <c r="BW42" s="361"/>
      <c r="BX42" s="361"/>
      <c r="BY42" s="361"/>
      <c r="BZ42" s="361"/>
      <c r="CA42" s="361"/>
      <c r="CB42" s="361"/>
      <c r="CC42" s="361"/>
      <c r="CD42" s="361"/>
      <c r="CE42" s="361"/>
      <c r="CF42" s="361"/>
    </row>
    <row r="43" spans="2:84" x14ac:dyDescent="0.2"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361"/>
      <c r="AQ43" s="361"/>
      <c r="AR43" s="361"/>
      <c r="AS43" s="361"/>
      <c r="AT43" s="361"/>
      <c r="AU43" s="361"/>
      <c r="AV43" s="361"/>
      <c r="AW43" s="361"/>
      <c r="AX43" s="361"/>
      <c r="AY43" s="361"/>
      <c r="AZ43" s="361"/>
      <c r="BA43" s="361"/>
      <c r="BB43" s="361"/>
      <c r="BC43" s="361"/>
      <c r="BD43" s="361"/>
      <c r="BE43" s="361"/>
      <c r="BF43" s="361"/>
      <c r="BG43" s="361"/>
      <c r="BH43" s="361"/>
      <c r="BI43" s="361"/>
      <c r="BJ43" s="361"/>
      <c r="BK43" s="361"/>
      <c r="BL43" s="361"/>
      <c r="BM43" s="361"/>
      <c r="BN43" s="361"/>
      <c r="BO43" s="361"/>
      <c r="BP43" s="361"/>
      <c r="BQ43" s="361"/>
      <c r="BR43" s="361"/>
      <c r="BS43" s="361"/>
      <c r="BT43" s="361"/>
      <c r="BU43" s="361"/>
      <c r="BV43" s="361"/>
      <c r="BW43" s="361"/>
      <c r="BX43" s="361"/>
      <c r="BY43" s="361"/>
      <c r="BZ43" s="361"/>
      <c r="CA43" s="361"/>
      <c r="CB43" s="361"/>
      <c r="CC43" s="361"/>
      <c r="CD43" s="361"/>
      <c r="CE43" s="361"/>
      <c r="CF43" s="361"/>
    </row>
    <row r="44" spans="2:84" x14ac:dyDescent="0.2">
      <c r="C44" s="357"/>
      <c r="D44" s="357"/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361"/>
      <c r="AQ44" s="361"/>
      <c r="AR44" s="361"/>
      <c r="AS44" s="361"/>
      <c r="AT44" s="361"/>
      <c r="AU44" s="361"/>
      <c r="AV44" s="361"/>
      <c r="AW44" s="361"/>
      <c r="AX44" s="361"/>
      <c r="AY44" s="361"/>
      <c r="AZ44" s="361"/>
      <c r="BA44" s="361"/>
      <c r="BB44" s="361"/>
      <c r="BC44" s="361"/>
      <c r="BD44" s="361"/>
      <c r="BE44" s="361"/>
      <c r="BF44" s="361"/>
      <c r="BG44" s="361"/>
      <c r="BH44" s="361"/>
      <c r="BI44" s="361"/>
      <c r="BJ44" s="361"/>
      <c r="BK44" s="361"/>
      <c r="BL44" s="361"/>
      <c r="BM44" s="361"/>
      <c r="BN44" s="361"/>
      <c r="BO44" s="361"/>
      <c r="BP44" s="361"/>
      <c r="BQ44" s="361"/>
      <c r="BR44" s="361"/>
      <c r="BS44" s="361"/>
      <c r="BT44" s="361"/>
      <c r="BU44" s="361"/>
      <c r="BV44" s="361"/>
      <c r="BW44" s="361"/>
      <c r="BX44" s="361"/>
      <c r="BY44" s="361"/>
      <c r="BZ44" s="361"/>
      <c r="CA44" s="361"/>
      <c r="CB44" s="361"/>
      <c r="CC44" s="361"/>
      <c r="CD44" s="361"/>
      <c r="CE44" s="361"/>
      <c r="CF44" s="361"/>
    </row>
    <row r="45" spans="2:84" x14ac:dyDescent="0.2">
      <c r="C45" s="357"/>
      <c r="D45" s="357"/>
      <c r="E45" s="357"/>
      <c r="F45" s="357"/>
      <c r="G45" s="357"/>
      <c r="H45" s="357"/>
      <c r="I45" s="357"/>
      <c r="J45" s="357"/>
      <c r="K45" s="357"/>
      <c r="L45" s="357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</row>
    <row r="46" spans="2:84" x14ac:dyDescent="0.2"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</row>
    <row r="47" spans="2:84" x14ac:dyDescent="0.2">
      <c r="C47" s="357"/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/>
      <c r="Z47" s="357"/>
      <c r="AA47" s="357"/>
    </row>
    <row r="48" spans="2:84" x14ac:dyDescent="0.2">
      <c r="C48" s="357"/>
      <c r="D48" s="357"/>
      <c r="E48" s="357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</row>
    <row r="49" spans="3:27" x14ac:dyDescent="0.2">
      <c r="C49" s="357"/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</row>
    <row r="50" spans="3:27" x14ac:dyDescent="0.2">
      <c r="C50" s="357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D4" activePane="bottomRight" state="frozen"/>
      <selection pane="topRight" activeCell="C1" sqref="C1"/>
      <selection pane="bottomLeft" activeCell="A3" sqref="A3"/>
      <selection pane="bottomRight" activeCell="W5" sqref="W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28" customFormat="1" x14ac:dyDescent="0.2">
      <c r="A2" s="253" t="s">
        <v>4120</v>
      </c>
      <c r="C2" s="253">
        <v>1</v>
      </c>
      <c r="D2" s="428">
        <v>2</v>
      </c>
      <c r="E2" s="428">
        <v>3</v>
      </c>
      <c r="H2" s="253">
        <v>18</v>
      </c>
      <c r="I2" s="428">
        <v>19</v>
      </c>
      <c r="J2" s="428">
        <v>21</v>
      </c>
      <c r="V2" s="253">
        <v>12</v>
      </c>
      <c r="X2" s="428">
        <v>18</v>
      </c>
      <c r="Y2" s="428">
        <v>19</v>
      </c>
      <c r="Z2" s="428">
        <v>15</v>
      </c>
      <c r="AB2" s="428">
        <v>13</v>
      </c>
      <c r="AC2" s="428">
        <v>14</v>
      </c>
      <c r="AD2" s="253"/>
      <c r="AF2" s="428">
        <v>1</v>
      </c>
      <c r="AG2" s="428">
        <v>2</v>
      </c>
      <c r="AL2" s="428">
        <v>3</v>
      </c>
      <c r="AN2" s="428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5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6">
        <v>16</v>
      </c>
      <c r="B21" s="346"/>
      <c r="C21" s="346"/>
      <c r="D21" s="347">
        <v>0</v>
      </c>
      <c r="E21" s="346">
        <v>0</v>
      </c>
      <c r="F21" s="346">
        <v>1</v>
      </c>
      <c r="G21" s="346">
        <v>0</v>
      </c>
      <c r="H21" s="346"/>
      <c r="I21" s="346"/>
      <c r="J21" s="346"/>
      <c r="K21" s="346" t="e">
        <f>LEFT(D21,FIND(" ",D21))</f>
        <v>#VALUE!</v>
      </c>
      <c r="L21" s="346" t="e">
        <f>MID(D21, FIND(" ",D21), LEN(D21) - FIND(" ",D21) + 1)</f>
        <v>#VALUE!</v>
      </c>
      <c r="M21" s="346">
        <f>IF(PedGuiMedIV!E25&lt;&gt;"",G21/10*24,0)</f>
        <v>0</v>
      </c>
      <c r="N21" s="346">
        <f>IF($F21=3,M21*0.05,0)</f>
        <v>0</v>
      </c>
      <c r="O21" s="346">
        <f>IF($F21=4,M21*0.1,0)</f>
        <v>0</v>
      </c>
      <c r="P21" s="346">
        <f>IF($F21=2,M21*0.155,0)</f>
        <v>0</v>
      </c>
      <c r="Q21" s="346">
        <f>IF(OR($C21=24),0.5*$M21,IF(C21=4,M21*145/1000,0))</f>
        <v>0</v>
      </c>
      <c r="R21" s="346">
        <f>Q21</f>
        <v>0</v>
      </c>
      <c r="S21" s="346">
        <f t="shared" si="24"/>
        <v>0</v>
      </c>
      <c r="T21" s="346">
        <f>IF(OR($C21=4),0.2*$M21,0)</f>
        <v>0</v>
      </c>
      <c r="U21" s="346">
        <f>IF(OR(C21=20,C21=21),0.1*M21,0)</f>
        <v>0</v>
      </c>
      <c r="V21" s="346"/>
      <c r="W21" s="346"/>
      <c r="X21" s="346"/>
      <c r="Y21" s="346"/>
      <c r="Z21" s="346"/>
      <c r="AA21" s="346"/>
      <c r="AB21" s="346"/>
      <c r="AC21" s="346"/>
      <c r="AD21" s="346" t="str">
        <f>IF(C21&gt;1,"verw","")</f>
        <v/>
      </c>
      <c r="AE21" s="346"/>
      <c r="AF21" s="346" t="str">
        <f>IF(C21&lt;&gt;"",C21,"")</f>
        <v/>
      </c>
      <c r="AG21" s="346">
        <f>IF(D21="","",D21)</f>
        <v>0</v>
      </c>
      <c r="AH21" s="346" t="str">
        <f>IF(C21&lt;&gt;"",E21&amp;" ml","")</f>
        <v/>
      </c>
      <c r="AI21" s="346" t="str">
        <f>IF((INDEX(Tbl_Ped_MedContIV_OplVl,F21,1)=0),"",INDEX(Tbl_Ped_MedContIV_OplVl,F21,1))</f>
        <v/>
      </c>
      <c r="AJ21" s="346" t="str">
        <f>IF(C21&gt;1,G21/10&amp;" ml/uur","")</f>
        <v/>
      </c>
      <c r="AK21" s="346" t="str">
        <f>IFERROR(ROUND((G21/10)*K21/E21/(_Pat_Gewicht/10),3)&amp;" "&amp;L21&amp;"/kg/uur "&amp;"("&amp;ROUND((G21/10/60)*K21/E21/(_Pat_Gewicht/10),3)&amp;" "&amp;L21&amp;"/kg/min)","")</f>
        <v/>
      </c>
      <c r="AL21" s="346"/>
      <c r="AM21" s="346" t="str">
        <f>IF(C21&gt;1,24*G21/10&amp;" ml","")</f>
        <v/>
      </c>
      <c r="AN21" s="346"/>
    </row>
    <row r="22" spans="1:40" s="218" customFormat="1" x14ac:dyDescent="0.2">
      <c r="A22" s="346">
        <v>17</v>
      </c>
      <c r="B22" s="346"/>
      <c r="C22" s="346"/>
      <c r="D22" s="346">
        <v>0</v>
      </c>
      <c r="E22" s="346">
        <v>0</v>
      </c>
      <c r="F22" s="346">
        <v>1</v>
      </c>
      <c r="G22" s="346">
        <v>0</v>
      </c>
      <c r="H22" s="346"/>
      <c r="I22" s="346"/>
      <c r="J22" s="346"/>
      <c r="K22" s="346" t="e">
        <f>LEFT(D22,FIND(" ",D22))</f>
        <v>#VALUE!</v>
      </c>
      <c r="L22" s="346" t="e">
        <f>MID(D22, FIND(" ",D22), LEN(D22) - FIND(" ",D22) + 1)</f>
        <v>#VALUE!</v>
      </c>
      <c r="M22" s="346">
        <f>IF(PedGuiMedIV!E26&lt;&gt;"",G22/10*24,0)</f>
        <v>0</v>
      </c>
      <c r="N22" s="346">
        <f>IF($F22=3,M22*0.05,0)</f>
        <v>0</v>
      </c>
      <c r="O22" s="346">
        <f>IF($F22=4,M22*0.1,0)</f>
        <v>0</v>
      </c>
      <c r="P22" s="346">
        <f>IF($F22=2,M22*0.155,0)</f>
        <v>0</v>
      </c>
      <c r="Q22" s="346">
        <f>IF(OR($C22=24),0.5*$M22,IF(C22=4,M22*145/1000,0))</f>
        <v>0</v>
      </c>
      <c r="R22" s="346">
        <f t="shared" ref="R22:R25" si="29">Q22</f>
        <v>0</v>
      </c>
      <c r="S22" s="346">
        <f t="shared" si="24"/>
        <v>0</v>
      </c>
      <c r="T22" s="346">
        <f>IF(OR($C22=4),0.2*$M22,0)</f>
        <v>0</v>
      </c>
      <c r="U22" s="346">
        <f>IF(OR(C22=20,C22=21),0.1*M22,0)</f>
        <v>0</v>
      </c>
      <c r="V22" s="346"/>
      <c r="W22" s="346"/>
      <c r="X22" s="346"/>
      <c r="Y22" s="346"/>
      <c r="Z22" s="346"/>
      <c r="AA22" s="346"/>
      <c r="AB22" s="346"/>
      <c r="AC22" s="346"/>
      <c r="AD22" s="346" t="str">
        <f>IF(C22&gt;1,"verw","")</f>
        <v/>
      </c>
      <c r="AE22" s="346"/>
      <c r="AF22" s="346" t="str">
        <f>IF(C22&lt;&gt;"",C22,"")</f>
        <v/>
      </c>
      <c r="AG22" s="346">
        <f t="shared" ref="AG22:AG25" si="30">IF(D22="","",D22)</f>
        <v>0</v>
      </c>
      <c r="AH22" s="346" t="str">
        <f>IF(C22&lt;&gt;"",E22&amp;" ml","")</f>
        <v/>
      </c>
      <c r="AI22" s="346" t="str">
        <f>IF((INDEX(Tbl_Ped_MedContIV_OplVl,F22,1)=0),"",INDEX(Tbl_Ped_MedContIV_OplVl,F22,1))</f>
        <v/>
      </c>
      <c r="AJ22" s="346" t="str">
        <f>IF(C22&gt;1,G22/10&amp;" ml/uur","")</f>
        <v/>
      </c>
      <c r="AK22" s="346" t="str">
        <f>IFERROR(ROUND((G22/10)*K22/E22/(_Pat_Gewicht/10),3)&amp;" "&amp;L22&amp;"/kg/uur "&amp;"("&amp;ROUND((G22/10/60)*K22/E22/(_Pat_Gewicht/10),3)&amp;" "&amp;L22&amp;"/kg/min)","")</f>
        <v/>
      </c>
      <c r="AL22" s="346"/>
      <c r="AM22" s="346" t="str">
        <f>IF(C22&gt;1,24*G22/10&amp;" ml","")</f>
        <v/>
      </c>
      <c r="AN22" s="346"/>
    </row>
    <row r="23" spans="1:40" s="218" customFormat="1" x14ac:dyDescent="0.2">
      <c r="A23" s="346">
        <v>18</v>
      </c>
      <c r="B23" s="346"/>
      <c r="C23" s="346"/>
      <c r="D23" s="346">
        <v>0</v>
      </c>
      <c r="E23" s="346">
        <v>0</v>
      </c>
      <c r="F23" s="346">
        <v>1</v>
      </c>
      <c r="G23" s="346">
        <v>0</v>
      </c>
      <c r="H23" s="346"/>
      <c r="I23" s="346"/>
      <c r="J23" s="346"/>
      <c r="K23" s="346" t="e">
        <f>LEFT(D23,FIND(" ",D23))</f>
        <v>#VALUE!</v>
      </c>
      <c r="L23" s="346" t="e">
        <f>MID(D23, FIND(" ",D23), LEN(D23) - FIND(" ",D23) + 1)</f>
        <v>#VALUE!</v>
      </c>
      <c r="M23" s="346">
        <f>IF(PedGuiMedIV!E27&lt;&gt;"",G23/10*24,0)</f>
        <v>0</v>
      </c>
      <c r="N23" s="346">
        <f>IF($F23=3,M23*0.05,0)</f>
        <v>0</v>
      </c>
      <c r="O23" s="346">
        <f>IF($F23=4,M23*0.1,0)</f>
        <v>0</v>
      </c>
      <c r="P23" s="346">
        <f>IF($F23=2,M23*0.155,0)</f>
        <v>0</v>
      </c>
      <c r="Q23" s="346">
        <f>IF(OR($C23=24),0.5*$M23,IF(C23=4,M23*145/1000,0))</f>
        <v>0</v>
      </c>
      <c r="R23" s="346">
        <f t="shared" si="29"/>
        <v>0</v>
      </c>
      <c r="S23" s="346">
        <f t="shared" si="24"/>
        <v>0</v>
      </c>
      <c r="T23" s="346">
        <f>IF(OR($C23=4),0.2*$M23,0)</f>
        <v>0</v>
      </c>
      <c r="U23" s="346">
        <f>IF(OR(C23=20,C23=21),0.1*M23,0)</f>
        <v>0</v>
      </c>
      <c r="V23" s="346"/>
      <c r="W23" s="346"/>
      <c r="X23" s="346"/>
      <c r="Y23" s="346"/>
      <c r="Z23" s="346"/>
      <c r="AA23" s="346"/>
      <c r="AB23" s="346"/>
      <c r="AC23" s="346"/>
      <c r="AD23" s="346" t="str">
        <f>IF(C23&gt;1,"verw","")</f>
        <v/>
      </c>
      <c r="AE23" s="346"/>
      <c r="AF23" s="346" t="str">
        <f>IF(C23&lt;&gt;"",C23,"")</f>
        <v/>
      </c>
      <c r="AG23" s="346">
        <f t="shared" si="30"/>
        <v>0</v>
      </c>
      <c r="AH23" s="346" t="str">
        <f>IF(C23&lt;&gt;"",E23&amp;" ml","")</f>
        <v/>
      </c>
      <c r="AI23" s="346" t="str">
        <f>IF((INDEX(Tbl_Ped_MedContIV_OplVl,F23,1)=0),"",INDEX(Tbl_Ped_MedContIV_OplVl,F23,1))</f>
        <v/>
      </c>
      <c r="AJ23" s="346" t="str">
        <f>IF(C23&gt;1,G23/10&amp;" ml/uur","")</f>
        <v/>
      </c>
      <c r="AK23" s="346" t="str">
        <f>IFERROR(ROUND((G23/10)*K23/E23/(_Pat_Gewicht/10),3)&amp;" "&amp;L23&amp;"/kg/uur "&amp;"("&amp;ROUND((G23/10/60)*K23/E23/(_Pat_Gewicht/10),3)&amp;" "&amp;L23&amp;"/kg/min)","")</f>
        <v/>
      </c>
      <c r="AL23" s="346"/>
      <c r="AM23" s="346" t="str">
        <f>IF(C23&gt;1,24*G23/10&amp;" ml","")</f>
        <v/>
      </c>
      <c r="AN23" s="346"/>
    </row>
    <row r="24" spans="1:40" s="218" customFormat="1" x14ac:dyDescent="0.2">
      <c r="A24" s="346">
        <v>19</v>
      </c>
      <c r="B24" s="346"/>
      <c r="C24" s="346"/>
      <c r="D24" s="346">
        <v>0</v>
      </c>
      <c r="E24" s="346">
        <v>0</v>
      </c>
      <c r="F24" s="346">
        <v>1</v>
      </c>
      <c r="G24" s="346">
        <v>0</v>
      </c>
      <c r="H24" s="346"/>
      <c r="I24" s="346"/>
      <c r="J24" s="346"/>
      <c r="K24" s="346" t="e">
        <f>LEFT(D24,FIND(" ",D24))</f>
        <v>#VALUE!</v>
      </c>
      <c r="L24" s="346" t="e">
        <f>MID(D24, FIND(" ",D24), LEN(D24) - FIND(" ",D24) + 1)</f>
        <v>#VALUE!</v>
      </c>
      <c r="M24" s="346">
        <f>IF(PedGuiMedIV!E28&lt;&gt;"",G24/10*24,0)</f>
        <v>0</v>
      </c>
      <c r="N24" s="346">
        <f>IF($F24=3,M24*0.05,0)</f>
        <v>0</v>
      </c>
      <c r="O24" s="346">
        <f>IF($F24=4,M24*0.1,0)</f>
        <v>0</v>
      </c>
      <c r="P24" s="346">
        <f>IF($F24=2,M24*0.155,0)</f>
        <v>0</v>
      </c>
      <c r="Q24" s="346">
        <f>IF(OR($C24=24),0.5*$M24,IF(C24=4,M24*145/1000,0))</f>
        <v>0</v>
      </c>
      <c r="R24" s="346">
        <f t="shared" si="29"/>
        <v>0</v>
      </c>
      <c r="S24" s="346">
        <f t="shared" si="24"/>
        <v>0</v>
      </c>
      <c r="T24" s="346">
        <f>IF(OR($C24=4),0.2*$M24,0)</f>
        <v>0</v>
      </c>
      <c r="U24" s="346">
        <f>IF(OR(C24=20,C24=21),0.1*M24,0)</f>
        <v>0</v>
      </c>
      <c r="V24" s="346"/>
      <c r="W24" s="346"/>
      <c r="X24" s="346"/>
      <c r="Y24" s="346"/>
      <c r="Z24" s="346"/>
      <c r="AA24" s="346"/>
      <c r="AB24" s="346"/>
      <c r="AC24" s="346"/>
      <c r="AD24" s="346" t="str">
        <f>IF(C24&gt;1,"verw","")</f>
        <v/>
      </c>
      <c r="AE24" s="346"/>
      <c r="AF24" s="346" t="str">
        <f>IF(C24&lt;&gt;"",C24,"")</f>
        <v/>
      </c>
      <c r="AG24" s="346">
        <f t="shared" si="30"/>
        <v>0</v>
      </c>
      <c r="AH24" s="346" t="str">
        <f>IF(C24&lt;&gt;"",E24&amp;" ml","")</f>
        <v/>
      </c>
      <c r="AI24" s="346" t="str">
        <f>IF((INDEX(Tbl_Ped_MedContIV_OplVl,F24,1)=0),"",INDEX(Tbl_Ped_MedContIV_OplVl,F24,1))</f>
        <v/>
      </c>
      <c r="AJ24" s="346" t="str">
        <f>IF(C24&gt;1,G24/10&amp;" ml/uur","")</f>
        <v/>
      </c>
      <c r="AK24" s="346" t="str">
        <f>IFERROR(ROUND((G24/10)*K24/E24/(_Pat_Gewicht/10),3)&amp;" "&amp;L24&amp;"/kg/uur "&amp;"("&amp;ROUND((G24/10/60)*K24/E24/(_Pat_Gewicht/10),3)&amp;" "&amp;L24&amp;"/kg/min)","")</f>
        <v/>
      </c>
      <c r="AL24" s="346"/>
      <c r="AM24" s="346" t="str">
        <f>IF(C24&gt;1,24*G24/10&amp;" ml","")</f>
        <v/>
      </c>
      <c r="AN24" s="346"/>
    </row>
    <row r="25" spans="1:40" s="218" customFormat="1" x14ac:dyDescent="0.2">
      <c r="A25" s="427">
        <v>20</v>
      </c>
      <c r="B25" s="427"/>
      <c r="C25" s="427"/>
      <c r="D25" s="427">
        <v>0</v>
      </c>
      <c r="E25" s="427">
        <v>0</v>
      </c>
      <c r="F25" s="427">
        <v>1</v>
      </c>
      <c r="G25" s="427">
        <v>0</v>
      </c>
      <c r="H25" s="427"/>
      <c r="I25" s="427"/>
      <c r="J25" s="427"/>
      <c r="K25" s="427" t="e">
        <f>LEFT(D25,FIND(" ",D25))</f>
        <v>#VALUE!</v>
      </c>
      <c r="L25" s="427" t="e">
        <f>MID(D25, FIND(" ",D25), LEN(D25) - FIND(" ",D25) + 1)</f>
        <v>#VALUE!</v>
      </c>
      <c r="M25" s="427">
        <f>IF(PedGuiMedIV!E29&lt;&gt;"",G25/10*24,0)</f>
        <v>0</v>
      </c>
      <c r="N25" s="427">
        <f>IF($F25=3,M25*0.05,0)</f>
        <v>0</v>
      </c>
      <c r="O25" s="427">
        <f>IF($F25=4,M25*0.1,0)</f>
        <v>0</v>
      </c>
      <c r="P25" s="427">
        <f>IF($F25=2,M25*0.155,0)</f>
        <v>0</v>
      </c>
      <c r="Q25" s="427">
        <f>IF(OR($C25=24),0.5*$M25,IF(C25=4,M25*145/1000,0))</f>
        <v>0</v>
      </c>
      <c r="R25" s="427">
        <f t="shared" si="29"/>
        <v>0</v>
      </c>
      <c r="S25" s="427">
        <f t="shared" si="24"/>
        <v>0</v>
      </c>
      <c r="T25" s="427">
        <f>IF(OR($C25=4),0.2*$M25,0)</f>
        <v>0</v>
      </c>
      <c r="U25" s="427">
        <f>IF(OR(C25=20,C25=21),0.1*M25,0)</f>
        <v>0</v>
      </c>
      <c r="V25" s="427"/>
      <c r="W25" s="427"/>
      <c r="X25" s="427"/>
      <c r="Y25" s="427"/>
      <c r="Z25" s="427"/>
      <c r="AA25" s="427"/>
      <c r="AB25" s="427"/>
      <c r="AC25" s="427"/>
      <c r="AD25" s="427" t="str">
        <f>IF(C25&gt;1,"verw","")</f>
        <v/>
      </c>
      <c r="AE25" s="427"/>
      <c r="AF25" s="427" t="str">
        <f>IF(C25&lt;&gt;"",C25,"")</f>
        <v/>
      </c>
      <c r="AG25" s="427">
        <f t="shared" si="30"/>
        <v>0</v>
      </c>
      <c r="AH25" s="427" t="str">
        <f>IF(C25&lt;&gt;"",E25&amp;" ml","")</f>
        <v/>
      </c>
      <c r="AI25" s="427" t="str">
        <f>IF((INDEX(Tbl_Ped_MedContIV_OplVl,F25,1)=0),"",INDEX(Tbl_Ped_MedContIV_OplVl,F25,1))</f>
        <v/>
      </c>
      <c r="AJ25" s="427" t="str">
        <f>IF(C25&gt;1,G25/10&amp;" ml/uur","")</f>
        <v/>
      </c>
      <c r="AK25" s="427" t="str">
        <f>IFERROR(ROUND((G25/10)*K25/E25/(_Pat_Gewicht/10),3)&amp;" "&amp;L25&amp;"/kg/uur "&amp;"("&amp;ROUND((G25/10/60)*K25/E25/(_Pat_Gewicht/10),3)&amp;" "&amp;L25&amp;"/kg/min)","")</f>
        <v/>
      </c>
      <c r="AL25" s="427"/>
      <c r="AM25" s="427" t="str">
        <f>IF(C25&gt;1,24*G25/10&amp;" ml","")</f>
        <v/>
      </c>
      <c r="AN25" s="427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64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F17" sqref="F17"/>
    </sheetView>
  </sheetViews>
  <sheetFormatPr defaultColWidth="9.140625" defaultRowHeight="12.75" x14ac:dyDescent="0.2"/>
  <cols>
    <col min="1" max="1" width="5" style="813" customWidth="1"/>
    <col min="2" max="2" width="33.140625" style="813" customWidth="1"/>
    <col min="3" max="3" width="12" style="813" customWidth="1"/>
    <col min="4" max="4" width="17.5703125" style="813" customWidth="1"/>
    <col min="5" max="16" width="7.7109375" style="813" customWidth="1"/>
    <col min="17" max="17" width="30.7109375" style="813" customWidth="1"/>
    <col min="18" max="18" width="35.42578125" style="813" customWidth="1"/>
    <col min="19" max="20" width="8.7109375" style="813" customWidth="1"/>
    <col min="21" max="21" width="12.28515625" style="813" customWidth="1"/>
    <col min="22" max="22" width="8.7109375" style="813" customWidth="1"/>
    <col min="23" max="23" width="9.5703125" style="813" customWidth="1"/>
    <col min="24" max="24" width="25.7109375" style="813" customWidth="1"/>
    <col min="25" max="16384" width="9.140625" style="813"/>
  </cols>
  <sheetData>
    <row r="1" spans="1:24" x14ac:dyDescent="0.2">
      <c r="A1" s="811"/>
      <c r="B1" s="812"/>
      <c r="C1" s="812"/>
      <c r="D1" s="812"/>
      <c r="E1" s="812" t="s">
        <v>4118</v>
      </c>
      <c r="F1" s="812"/>
      <c r="G1" s="812"/>
      <c r="H1" s="812"/>
      <c r="I1" s="812"/>
      <c r="J1" s="812"/>
      <c r="K1" s="812" t="s">
        <v>4119</v>
      </c>
      <c r="L1" s="812"/>
      <c r="M1" s="812"/>
      <c r="N1" s="812"/>
      <c r="O1" s="812"/>
      <c r="P1" s="812"/>
      <c r="Q1" s="812"/>
      <c r="R1" s="812" t="s">
        <v>4107</v>
      </c>
      <c r="S1" s="812"/>
      <c r="T1" s="812"/>
      <c r="U1" s="812"/>
      <c r="V1" s="812"/>
    </row>
    <row r="2" spans="1:24" x14ac:dyDescent="0.2">
      <c r="A2" s="814"/>
      <c r="B2" s="815"/>
      <c r="C2" s="815"/>
      <c r="D2" s="815"/>
      <c r="E2" s="815" t="s">
        <v>365</v>
      </c>
      <c r="F2" s="815"/>
      <c r="G2" s="815" t="s">
        <v>366</v>
      </c>
      <c r="H2" s="815"/>
      <c r="I2" s="815" t="s">
        <v>367</v>
      </c>
      <c r="J2" s="815"/>
      <c r="K2" s="815"/>
      <c r="L2" s="815"/>
      <c r="M2" s="815"/>
      <c r="N2" s="815"/>
      <c r="O2" s="815"/>
      <c r="P2" s="815"/>
      <c r="Q2" s="815"/>
      <c r="R2" s="815"/>
      <c r="S2" s="815" t="s">
        <v>375</v>
      </c>
      <c r="T2" s="815"/>
      <c r="U2" s="815"/>
      <c r="V2" s="815"/>
    </row>
    <row r="3" spans="1:24" s="818" customFormat="1" ht="25.5" x14ac:dyDescent="0.2">
      <c r="A3" s="816"/>
      <c r="B3" s="817" t="s">
        <v>4121</v>
      </c>
      <c r="C3" s="817" t="s">
        <v>3321</v>
      </c>
      <c r="D3" s="817" t="s">
        <v>4123</v>
      </c>
      <c r="E3" s="817" t="s">
        <v>4122</v>
      </c>
      <c r="F3" s="817" t="s">
        <v>378</v>
      </c>
      <c r="G3" s="817" t="s">
        <v>4122</v>
      </c>
      <c r="H3" s="817" t="s">
        <v>378</v>
      </c>
      <c r="I3" s="817" t="s">
        <v>4122</v>
      </c>
      <c r="J3" s="817" t="s">
        <v>378</v>
      </c>
      <c r="K3" s="817" t="s">
        <v>4115</v>
      </c>
      <c r="L3" s="817" t="s">
        <v>4116</v>
      </c>
      <c r="M3" s="817" t="s">
        <v>4117</v>
      </c>
      <c r="N3" s="817" t="s">
        <v>4909</v>
      </c>
      <c r="O3" s="817" t="s">
        <v>4907</v>
      </c>
      <c r="P3" s="817" t="s">
        <v>4105</v>
      </c>
      <c r="Q3" s="817" t="s">
        <v>4125</v>
      </c>
      <c r="R3" s="817" t="s">
        <v>368</v>
      </c>
      <c r="S3" s="817" t="s">
        <v>4122</v>
      </c>
      <c r="T3" s="817" t="s">
        <v>378</v>
      </c>
      <c r="U3" s="817" t="s">
        <v>4781</v>
      </c>
      <c r="V3" s="817" t="s">
        <v>4113</v>
      </c>
      <c r="X3" s="818" t="s">
        <v>4753</v>
      </c>
    </row>
    <row r="4" spans="1:24" x14ac:dyDescent="0.2">
      <c r="A4" s="814">
        <v>1</v>
      </c>
      <c r="B4" s="815"/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>
        <v>1</v>
      </c>
      <c r="Q4" s="815"/>
      <c r="R4" s="815"/>
      <c r="S4" s="815"/>
      <c r="T4" s="815"/>
      <c r="U4" s="815"/>
      <c r="V4" s="815"/>
      <c r="X4" s="819"/>
    </row>
    <row r="5" spans="1:24" x14ac:dyDescent="0.2">
      <c r="A5" s="814">
        <f>A4+1</f>
        <v>2</v>
      </c>
      <c r="B5" s="823" t="s">
        <v>162</v>
      </c>
      <c r="C5" s="823" t="s">
        <v>121</v>
      </c>
      <c r="D5" s="823" t="s">
        <v>468</v>
      </c>
      <c r="E5" s="823">
        <v>1</v>
      </c>
      <c r="F5" s="823">
        <v>50</v>
      </c>
      <c r="G5" s="823">
        <v>2</v>
      </c>
      <c r="H5" s="823">
        <v>50</v>
      </c>
      <c r="I5" s="824">
        <v>5</v>
      </c>
      <c r="J5" s="824">
        <v>50</v>
      </c>
      <c r="K5" s="823">
        <v>0.05</v>
      </c>
      <c r="L5" s="823">
        <v>0.5</v>
      </c>
      <c r="M5" s="823">
        <v>1</v>
      </c>
      <c r="N5" s="823"/>
      <c r="O5" s="823">
        <v>0.1</v>
      </c>
      <c r="P5" s="823">
        <v>0</v>
      </c>
      <c r="Q5" s="823"/>
      <c r="R5" s="815" t="str">
        <f>IF(ISBLANK(Q5),CONCATENATE(K5,"-",L5," ",D5),Q5)</f>
        <v>0.05-0.5 microg/kg/min</v>
      </c>
      <c r="S5" s="815">
        <f t="shared" ref="S5:S35" si="0">IF(_Pat_Gewicht/10&lt;6,E5,IF(_Pat_Gewicht/10&lt;11,G5,I5))</f>
        <v>1</v>
      </c>
      <c r="T5" s="815">
        <f t="shared" ref="T5:T35" si="1">IF(_Pat_Gewicht/10&lt;6,F5,IF(_Pat_Gewicht/10&lt;11,H5,J5))</f>
        <v>50</v>
      </c>
      <c r="U5" s="815" t="b">
        <f>ContainsCaseInsensitive(D5,"kg")</f>
        <v>1</v>
      </c>
      <c r="V5" s="815">
        <f t="shared" ref="V5:V35" si="2">HLOOKUP(C5,Tbl_Glob_Conv_EenhCont,VLOOKUP(D5,Tbl_Glob_Conv_EenhCont,2,FALSE),FALSE)</f>
        <v>16.666666666666668</v>
      </c>
      <c r="X5" s="820" t="s">
        <v>239</v>
      </c>
    </row>
    <row r="6" spans="1:24" x14ac:dyDescent="0.2">
      <c r="A6" s="814">
        <f t="shared" ref="A6:A35" si="3">A5+1</f>
        <v>3</v>
      </c>
      <c r="B6" s="823" t="s">
        <v>91</v>
      </c>
      <c r="C6" s="823" t="s">
        <v>56</v>
      </c>
      <c r="D6" s="823" t="s">
        <v>290</v>
      </c>
      <c r="E6" s="823">
        <v>0.2</v>
      </c>
      <c r="F6" s="823">
        <v>1</v>
      </c>
      <c r="G6" s="823">
        <v>0.2</v>
      </c>
      <c r="H6" s="823">
        <v>1</v>
      </c>
      <c r="I6" s="824">
        <v>0.2</v>
      </c>
      <c r="J6" s="824">
        <v>1</v>
      </c>
      <c r="K6" s="823">
        <v>1</v>
      </c>
      <c r="L6" s="823">
        <v>2</v>
      </c>
      <c r="M6" s="823">
        <v>4</v>
      </c>
      <c r="N6" s="823"/>
      <c r="O6" s="823"/>
      <c r="P6" s="823">
        <v>1</v>
      </c>
      <c r="Q6" s="823"/>
      <c r="R6" s="815" t="str">
        <f t="shared" ref="R6:R35" si="4">IF(ISBLANK(Q6),CONCATENATE(K6,"-",L6," ",D6),Q6)</f>
        <v>1-2 gram/kg/dag</v>
      </c>
      <c r="S6" s="815">
        <f t="shared" si="0"/>
        <v>0.2</v>
      </c>
      <c r="T6" s="815">
        <f t="shared" si="1"/>
        <v>1</v>
      </c>
      <c r="U6" s="815" t="b">
        <f t="shared" ref="U6:U35" si="5">ContainsCaseInsensitive(D6,"kg")</f>
        <v>1</v>
      </c>
      <c r="V6" s="815">
        <f t="shared" si="2"/>
        <v>24</v>
      </c>
      <c r="X6" s="820" t="s">
        <v>467</v>
      </c>
    </row>
    <row r="7" spans="1:24" x14ac:dyDescent="0.2">
      <c r="A7" s="814">
        <f t="shared" si="3"/>
        <v>4</v>
      </c>
      <c r="B7" s="823" t="s">
        <v>112</v>
      </c>
      <c r="C7" s="823" t="s">
        <v>121</v>
      </c>
      <c r="D7" s="823" t="s">
        <v>333</v>
      </c>
      <c r="E7" s="823">
        <v>0.2</v>
      </c>
      <c r="F7" s="823">
        <v>50</v>
      </c>
      <c r="G7" s="823"/>
      <c r="H7" s="823"/>
      <c r="I7" s="823"/>
      <c r="J7" s="823"/>
      <c r="K7" s="823">
        <v>10</v>
      </c>
      <c r="L7" s="823">
        <v>50</v>
      </c>
      <c r="M7" s="823">
        <v>100</v>
      </c>
      <c r="N7" s="823"/>
      <c r="O7" s="823">
        <v>0.02</v>
      </c>
      <c r="P7" s="823">
        <v>0</v>
      </c>
      <c r="Q7" s="823"/>
      <c r="R7" s="815" t="str">
        <f t="shared" si="4"/>
        <v>10-50 nanog/kg/min</v>
      </c>
      <c r="S7" s="815">
        <f t="shared" si="0"/>
        <v>0.2</v>
      </c>
      <c r="T7" s="815">
        <f t="shared" si="1"/>
        <v>50</v>
      </c>
      <c r="U7" s="815" t="b">
        <f t="shared" si="5"/>
        <v>1</v>
      </c>
      <c r="V7" s="815">
        <f t="shared" si="2"/>
        <v>16666.666666666668</v>
      </c>
      <c r="X7" s="820" t="s">
        <v>470</v>
      </c>
    </row>
    <row r="8" spans="1:24" x14ac:dyDescent="0.2">
      <c r="A8" s="814">
        <f t="shared" si="3"/>
        <v>5</v>
      </c>
      <c r="B8" s="823" t="s">
        <v>341</v>
      </c>
      <c r="C8" s="823" t="s">
        <v>121</v>
      </c>
      <c r="D8" s="823" t="s">
        <v>468</v>
      </c>
      <c r="E8" s="823">
        <v>50</v>
      </c>
      <c r="F8" s="823">
        <v>50</v>
      </c>
      <c r="G8" s="823">
        <v>150</v>
      </c>
      <c r="H8" s="823">
        <v>50</v>
      </c>
      <c r="I8" s="824">
        <v>300</v>
      </c>
      <c r="J8" s="824">
        <v>50</v>
      </c>
      <c r="K8" s="823">
        <v>5</v>
      </c>
      <c r="L8" s="823">
        <v>15</v>
      </c>
      <c r="M8" s="823">
        <v>25</v>
      </c>
      <c r="N8" s="823">
        <v>0.6</v>
      </c>
      <c r="O8" s="823">
        <v>50</v>
      </c>
      <c r="P8" s="823">
        <v>0</v>
      </c>
      <c r="Q8" s="823"/>
      <c r="R8" s="815" t="str">
        <f t="shared" si="4"/>
        <v>5-15 microg/kg/min</v>
      </c>
      <c r="S8" s="815">
        <f t="shared" si="0"/>
        <v>50</v>
      </c>
      <c r="T8" s="815">
        <f t="shared" si="1"/>
        <v>50</v>
      </c>
      <c r="U8" s="815" t="b">
        <f t="shared" si="5"/>
        <v>1</v>
      </c>
      <c r="V8" s="815">
        <f t="shared" si="2"/>
        <v>16.666666666666668</v>
      </c>
    </row>
    <row r="9" spans="1:24" x14ac:dyDescent="0.2">
      <c r="A9" s="814">
        <f t="shared" si="3"/>
        <v>6</v>
      </c>
      <c r="B9" s="823" t="s">
        <v>34</v>
      </c>
      <c r="C9" s="823" t="s">
        <v>121</v>
      </c>
      <c r="D9" s="823" t="s">
        <v>600</v>
      </c>
      <c r="E9" s="823">
        <v>0.15</v>
      </c>
      <c r="F9" s="823">
        <v>50</v>
      </c>
      <c r="G9" s="823">
        <v>0.3</v>
      </c>
      <c r="H9" s="823">
        <v>50</v>
      </c>
      <c r="I9" s="824">
        <v>0.6</v>
      </c>
      <c r="J9" s="824">
        <v>50</v>
      </c>
      <c r="K9" s="823">
        <v>0.25</v>
      </c>
      <c r="L9" s="823">
        <v>2</v>
      </c>
      <c r="M9" s="823">
        <v>3</v>
      </c>
      <c r="N9" s="823"/>
      <c r="O9" s="823">
        <v>0.15</v>
      </c>
      <c r="P9" s="823">
        <v>2</v>
      </c>
      <c r="Q9" s="823"/>
      <c r="R9" s="815" t="str">
        <f t="shared" si="4"/>
        <v>0.25-2 microg/kg/uur</v>
      </c>
      <c r="S9" s="815">
        <f t="shared" si="0"/>
        <v>0.15</v>
      </c>
      <c r="T9" s="815">
        <f t="shared" si="1"/>
        <v>50</v>
      </c>
      <c r="U9" s="815" t="b">
        <f t="shared" si="5"/>
        <v>1</v>
      </c>
      <c r="V9" s="815">
        <f t="shared" si="2"/>
        <v>1000</v>
      </c>
    </row>
    <row r="10" spans="1:24" x14ac:dyDescent="0.2">
      <c r="A10" s="814">
        <f t="shared" si="3"/>
        <v>7</v>
      </c>
      <c r="B10" s="823" t="s">
        <v>260</v>
      </c>
      <c r="C10" s="823" t="s">
        <v>121</v>
      </c>
      <c r="D10" s="823" t="s">
        <v>468</v>
      </c>
      <c r="E10" s="823">
        <v>80</v>
      </c>
      <c r="F10" s="823">
        <v>50</v>
      </c>
      <c r="G10" s="823">
        <v>200</v>
      </c>
      <c r="H10" s="823">
        <v>50</v>
      </c>
      <c r="I10" s="824">
        <v>400</v>
      </c>
      <c r="J10" s="824">
        <v>50</v>
      </c>
      <c r="K10" s="823">
        <v>1</v>
      </c>
      <c r="L10" s="823">
        <v>20</v>
      </c>
      <c r="M10" s="823">
        <v>30</v>
      </c>
      <c r="N10" s="823"/>
      <c r="O10" s="823">
        <v>12.5</v>
      </c>
      <c r="P10" s="823">
        <v>0</v>
      </c>
      <c r="Q10" s="823"/>
      <c r="R10" s="815" t="str">
        <f t="shared" si="4"/>
        <v>1-20 microg/kg/min</v>
      </c>
      <c r="S10" s="815">
        <f t="shared" si="0"/>
        <v>80</v>
      </c>
      <c r="T10" s="815">
        <f t="shared" si="1"/>
        <v>50</v>
      </c>
      <c r="U10" s="815" t="b">
        <f t="shared" si="5"/>
        <v>1</v>
      </c>
      <c r="V10" s="815">
        <f t="shared" si="2"/>
        <v>16.666666666666668</v>
      </c>
    </row>
    <row r="11" spans="1:24" x14ac:dyDescent="0.2">
      <c r="A11" s="814">
        <f t="shared" si="3"/>
        <v>8</v>
      </c>
      <c r="B11" s="823" t="s">
        <v>234</v>
      </c>
      <c r="C11" s="823" t="s">
        <v>121</v>
      </c>
      <c r="D11" s="823" t="s">
        <v>468</v>
      </c>
      <c r="E11" s="823">
        <v>80</v>
      </c>
      <c r="F11" s="823">
        <v>50</v>
      </c>
      <c r="G11" s="823">
        <v>200</v>
      </c>
      <c r="H11" s="823">
        <v>50</v>
      </c>
      <c r="I11" s="824">
        <v>400</v>
      </c>
      <c r="J11" s="824">
        <v>50</v>
      </c>
      <c r="K11" s="823">
        <v>1</v>
      </c>
      <c r="L11" s="823">
        <v>20</v>
      </c>
      <c r="M11" s="823">
        <v>30</v>
      </c>
      <c r="N11" s="823"/>
      <c r="O11" s="823">
        <v>40</v>
      </c>
      <c r="P11" s="823">
        <v>0</v>
      </c>
      <c r="Q11" s="823"/>
      <c r="R11" s="815" t="str">
        <f t="shared" si="4"/>
        <v>1-20 microg/kg/min</v>
      </c>
      <c r="S11" s="815">
        <f t="shared" si="0"/>
        <v>80</v>
      </c>
      <c r="T11" s="815">
        <f t="shared" si="1"/>
        <v>50</v>
      </c>
      <c r="U11" s="815" t="b">
        <f t="shared" si="5"/>
        <v>1</v>
      </c>
      <c r="V11" s="815">
        <f t="shared" si="2"/>
        <v>16.666666666666668</v>
      </c>
    </row>
    <row r="12" spans="1:24" x14ac:dyDescent="0.2">
      <c r="A12" s="814">
        <f t="shared" si="3"/>
        <v>9</v>
      </c>
      <c r="B12" s="823" t="s">
        <v>4288</v>
      </c>
      <c r="C12" s="823" t="s">
        <v>122</v>
      </c>
      <c r="D12" s="823" t="s">
        <v>132</v>
      </c>
      <c r="E12" s="823">
        <f>_Pat_Gewicht/10</f>
        <v>0</v>
      </c>
      <c r="F12" s="823">
        <v>24</v>
      </c>
      <c r="G12" s="823">
        <f>_Pat_Gewicht/10</f>
        <v>0</v>
      </c>
      <c r="H12" s="823">
        <v>48</v>
      </c>
      <c r="I12" s="823">
        <f>IF(_Pat_Gewicht/10&gt;=48,48,_Pat_Gewicht/10)</f>
        <v>0</v>
      </c>
      <c r="J12" s="824">
        <v>48</v>
      </c>
      <c r="K12" s="823">
        <v>1</v>
      </c>
      <c r="L12" s="823">
        <f>IF(T12=24,4,8)</f>
        <v>4</v>
      </c>
      <c r="M12" s="823">
        <v>8</v>
      </c>
      <c r="N12" s="823"/>
      <c r="O12" s="823"/>
      <c r="P12" s="823">
        <v>2</v>
      </c>
      <c r="Q12" s="823" t="s">
        <v>4291</v>
      </c>
      <c r="R12" s="815" t="str">
        <f t="shared" si="4"/>
        <v>N.B. Epiduraal, volgens voorschrift anesthesist!</v>
      </c>
      <c r="S12" s="815">
        <f t="shared" si="0"/>
        <v>0</v>
      </c>
      <c r="T12" s="815">
        <f t="shared" si="1"/>
        <v>24</v>
      </c>
      <c r="U12" s="815" t="b">
        <f t="shared" si="5"/>
        <v>0</v>
      </c>
      <c r="V12" s="815">
        <f t="shared" si="2"/>
        <v>1</v>
      </c>
    </row>
    <row r="13" spans="1:24" x14ac:dyDescent="0.2">
      <c r="A13" s="814">
        <f t="shared" si="3"/>
        <v>10</v>
      </c>
      <c r="B13" s="823" t="s">
        <v>4287</v>
      </c>
      <c r="C13" s="823" t="s">
        <v>122</v>
      </c>
      <c r="D13" s="823" t="s">
        <v>132</v>
      </c>
      <c r="E13" s="823">
        <f>_Pat_Gewicht/10</f>
        <v>0</v>
      </c>
      <c r="F13" s="823">
        <v>24</v>
      </c>
      <c r="G13" s="823">
        <f>_Pat_Gewicht/10</f>
        <v>0</v>
      </c>
      <c r="H13" s="823">
        <v>48</v>
      </c>
      <c r="I13" s="823">
        <f>IF(_Pat_Gewicht/10&gt;=48,48,_Pat_Gewicht/10)</f>
        <v>0</v>
      </c>
      <c r="J13" s="824">
        <v>48</v>
      </c>
      <c r="K13" s="823">
        <v>1</v>
      </c>
      <c r="L13" s="823">
        <f>IF(T13=24,4,8)</f>
        <v>4</v>
      </c>
      <c r="M13" s="823">
        <v>8</v>
      </c>
      <c r="N13" s="823"/>
      <c r="O13" s="823"/>
      <c r="P13" s="823">
        <v>2</v>
      </c>
      <c r="Q13" s="823" t="s">
        <v>4291</v>
      </c>
      <c r="R13" s="815" t="str">
        <f t="shared" si="4"/>
        <v>N.B. Epiduraal, volgens voorschrift anesthesist!</v>
      </c>
      <c r="S13" s="815">
        <f t="shared" si="0"/>
        <v>0</v>
      </c>
      <c r="T13" s="815">
        <f t="shared" si="1"/>
        <v>24</v>
      </c>
      <c r="U13" s="815" t="b">
        <f t="shared" si="5"/>
        <v>0</v>
      </c>
      <c r="V13" s="815">
        <f t="shared" si="2"/>
        <v>1</v>
      </c>
    </row>
    <row r="14" spans="1:24" x14ac:dyDescent="0.2">
      <c r="A14" s="814">
        <f t="shared" si="3"/>
        <v>11</v>
      </c>
      <c r="B14" s="823" t="s">
        <v>76</v>
      </c>
      <c r="C14" s="823" t="s">
        <v>121</v>
      </c>
      <c r="D14" s="823" t="s">
        <v>333</v>
      </c>
      <c r="E14" s="823">
        <v>0.2</v>
      </c>
      <c r="F14" s="823">
        <v>50</v>
      </c>
      <c r="G14" s="823">
        <v>0.4</v>
      </c>
      <c r="H14" s="823">
        <v>50</v>
      </c>
      <c r="I14" s="824">
        <v>0.8</v>
      </c>
      <c r="J14" s="824">
        <v>50</v>
      </c>
      <c r="K14" s="823">
        <v>0.5</v>
      </c>
      <c r="L14" s="823">
        <v>50</v>
      </c>
      <c r="M14" s="823">
        <v>50</v>
      </c>
      <c r="N14" s="823">
        <v>5.0000000000000001E-3</v>
      </c>
      <c r="O14" s="823">
        <v>0.01</v>
      </c>
      <c r="P14" s="823">
        <v>1</v>
      </c>
      <c r="Q14" s="823"/>
      <c r="R14" s="815" t="str">
        <f t="shared" si="4"/>
        <v>0.5-50 nanog/kg/min</v>
      </c>
      <c r="S14" s="815">
        <f t="shared" si="0"/>
        <v>0.2</v>
      </c>
      <c r="T14" s="815">
        <f t="shared" si="1"/>
        <v>50</v>
      </c>
      <c r="U14" s="815" t="b">
        <f t="shared" si="5"/>
        <v>1</v>
      </c>
      <c r="V14" s="815">
        <f t="shared" si="2"/>
        <v>16666.666666666668</v>
      </c>
    </row>
    <row r="15" spans="1:24" x14ac:dyDescent="0.2">
      <c r="A15" s="814">
        <f t="shared" si="3"/>
        <v>12</v>
      </c>
      <c r="B15" s="823" t="s">
        <v>106</v>
      </c>
      <c r="C15" s="823" t="s">
        <v>121</v>
      </c>
      <c r="D15" s="823" t="s">
        <v>288</v>
      </c>
      <c r="E15" s="823">
        <v>100</v>
      </c>
      <c r="F15" s="823">
        <v>50</v>
      </c>
      <c r="G15" s="823">
        <v>250</v>
      </c>
      <c r="H15" s="823">
        <v>50</v>
      </c>
      <c r="I15" s="824">
        <v>250</v>
      </c>
      <c r="J15" s="824">
        <v>50</v>
      </c>
      <c r="K15" s="823">
        <v>0.5</v>
      </c>
      <c r="L15" s="823">
        <v>1</v>
      </c>
      <c r="M15" s="823">
        <v>2</v>
      </c>
      <c r="N15" s="823"/>
      <c r="O15" s="823"/>
      <c r="P15" s="823">
        <v>0</v>
      </c>
      <c r="Q15" s="823"/>
      <c r="R15" s="815" t="str">
        <f t="shared" si="4"/>
        <v>0.5-1 mg/kg/uur</v>
      </c>
      <c r="S15" s="815">
        <f t="shared" si="0"/>
        <v>100</v>
      </c>
      <c r="T15" s="815">
        <f t="shared" si="1"/>
        <v>50</v>
      </c>
      <c r="U15" s="815" t="b">
        <f t="shared" si="5"/>
        <v>1</v>
      </c>
      <c r="V15" s="815">
        <f t="shared" si="2"/>
        <v>1</v>
      </c>
    </row>
    <row r="16" spans="1:24" x14ac:dyDescent="0.2">
      <c r="A16" s="814">
        <f t="shared" si="3"/>
        <v>13</v>
      </c>
      <c r="B16" s="823" t="s">
        <v>369</v>
      </c>
      <c r="C16" s="823" t="s">
        <v>121</v>
      </c>
      <c r="D16" s="823" t="s">
        <v>376</v>
      </c>
      <c r="E16" s="823">
        <v>500</v>
      </c>
      <c r="F16" s="823">
        <v>50</v>
      </c>
      <c r="G16" s="823">
        <v>500</v>
      </c>
      <c r="H16" s="823">
        <v>50</v>
      </c>
      <c r="I16" s="824">
        <v>500</v>
      </c>
      <c r="J16" s="824">
        <v>50</v>
      </c>
      <c r="K16" s="823">
        <v>0.1</v>
      </c>
      <c r="L16" s="823">
        <v>1</v>
      </c>
      <c r="M16" s="823">
        <v>2</v>
      </c>
      <c r="N16" s="823"/>
      <c r="O16" s="823">
        <v>10</v>
      </c>
      <c r="P16" s="823">
        <v>0</v>
      </c>
      <c r="Q16" s="823"/>
      <c r="R16" s="815" t="str">
        <f t="shared" si="4"/>
        <v>0.1-1 mg/kg/min</v>
      </c>
      <c r="S16" s="815">
        <f t="shared" si="0"/>
        <v>500</v>
      </c>
      <c r="T16" s="815">
        <f t="shared" si="1"/>
        <v>50</v>
      </c>
      <c r="U16" s="815" t="b">
        <f t="shared" si="5"/>
        <v>1</v>
      </c>
      <c r="V16" s="815">
        <f t="shared" si="2"/>
        <v>1.6666666666666666E-2</v>
      </c>
    </row>
    <row r="17" spans="1:22" x14ac:dyDescent="0.2">
      <c r="A17" s="814">
        <f t="shared" si="3"/>
        <v>14</v>
      </c>
      <c r="B17" s="823" t="s">
        <v>383</v>
      </c>
      <c r="C17" s="823" t="s">
        <v>121</v>
      </c>
      <c r="D17" s="823" t="s">
        <v>600</v>
      </c>
      <c r="E17" s="823">
        <v>0.5</v>
      </c>
      <c r="F17" s="823">
        <v>50</v>
      </c>
      <c r="G17" s="823">
        <v>1</v>
      </c>
      <c r="H17" s="823">
        <v>50</v>
      </c>
      <c r="I17" s="824">
        <v>5</v>
      </c>
      <c r="J17" s="824">
        <v>50</v>
      </c>
      <c r="K17" s="823">
        <v>1</v>
      </c>
      <c r="L17" s="823">
        <v>5</v>
      </c>
      <c r="M17" s="823">
        <v>10</v>
      </c>
      <c r="N17" s="823"/>
      <c r="O17" s="823">
        <v>10</v>
      </c>
      <c r="P17" s="823">
        <v>0</v>
      </c>
      <c r="Q17" s="823"/>
      <c r="R17" s="815" t="str">
        <f t="shared" si="4"/>
        <v>1-5 microg/kg/uur</v>
      </c>
      <c r="S17" s="815">
        <f t="shared" si="0"/>
        <v>0.5</v>
      </c>
      <c r="T17" s="815">
        <f t="shared" si="1"/>
        <v>50</v>
      </c>
      <c r="U17" s="815" t="b">
        <f t="shared" si="5"/>
        <v>1</v>
      </c>
      <c r="V17" s="815">
        <f t="shared" si="2"/>
        <v>1000</v>
      </c>
    </row>
    <row r="18" spans="1:22" x14ac:dyDescent="0.2">
      <c r="A18" s="814">
        <f t="shared" si="3"/>
        <v>15</v>
      </c>
      <c r="B18" s="823" t="s">
        <v>370</v>
      </c>
      <c r="C18" s="823" t="s">
        <v>121</v>
      </c>
      <c r="D18" s="823" t="s">
        <v>468</v>
      </c>
      <c r="E18" s="823">
        <v>0.2</v>
      </c>
      <c r="F18" s="823">
        <v>20</v>
      </c>
      <c r="G18" s="823">
        <v>0.4</v>
      </c>
      <c r="H18" s="823">
        <v>20</v>
      </c>
      <c r="I18" s="824">
        <v>0.8</v>
      </c>
      <c r="J18" s="824">
        <v>20</v>
      </c>
      <c r="K18" s="823">
        <v>0.05</v>
      </c>
      <c r="L18" s="823">
        <v>5</v>
      </c>
      <c r="M18" s="823">
        <v>10</v>
      </c>
      <c r="N18" s="823"/>
      <c r="O18" s="823"/>
      <c r="P18" s="823">
        <v>0</v>
      </c>
      <c r="Q18" s="823"/>
      <c r="R18" s="815" t="str">
        <f t="shared" si="4"/>
        <v>0.05-5 microg/kg/min</v>
      </c>
      <c r="S18" s="815">
        <f t="shared" si="0"/>
        <v>0.2</v>
      </c>
      <c r="T18" s="815">
        <f t="shared" si="1"/>
        <v>20</v>
      </c>
      <c r="U18" s="815" t="b">
        <f t="shared" si="5"/>
        <v>1</v>
      </c>
      <c r="V18" s="815">
        <f t="shared" si="2"/>
        <v>16.666666666666668</v>
      </c>
    </row>
    <row r="19" spans="1:22" x14ac:dyDescent="0.2">
      <c r="A19" s="814">
        <f t="shared" si="3"/>
        <v>16</v>
      </c>
      <c r="B19" s="823" t="s">
        <v>126</v>
      </c>
      <c r="C19" s="823" t="s">
        <v>121</v>
      </c>
      <c r="D19" s="823" t="s">
        <v>289</v>
      </c>
      <c r="E19" s="823">
        <v>10</v>
      </c>
      <c r="F19" s="823">
        <v>50</v>
      </c>
      <c r="G19" s="823">
        <v>20</v>
      </c>
      <c r="H19" s="823">
        <v>50</v>
      </c>
      <c r="I19" s="824">
        <v>40</v>
      </c>
      <c r="J19" s="824">
        <v>50</v>
      </c>
      <c r="K19" s="823">
        <v>1</v>
      </c>
      <c r="L19" s="823">
        <v>4</v>
      </c>
      <c r="M19" s="823">
        <v>6</v>
      </c>
      <c r="N19" s="823"/>
      <c r="O19" s="823">
        <v>10</v>
      </c>
      <c r="P19" s="823">
        <v>0</v>
      </c>
      <c r="Q19" s="823"/>
      <c r="R19" s="815" t="str">
        <f t="shared" si="4"/>
        <v>1-4 mg/kg/dag</v>
      </c>
      <c r="S19" s="815">
        <f t="shared" si="0"/>
        <v>10</v>
      </c>
      <c r="T19" s="815">
        <f t="shared" si="1"/>
        <v>50</v>
      </c>
      <c r="U19" s="815" t="b">
        <f t="shared" si="5"/>
        <v>1</v>
      </c>
      <c r="V19" s="815">
        <f t="shared" si="2"/>
        <v>24</v>
      </c>
    </row>
    <row r="20" spans="1:22" x14ac:dyDescent="0.2">
      <c r="A20" s="814">
        <f t="shared" si="3"/>
        <v>17</v>
      </c>
      <c r="B20" s="823" t="s">
        <v>141</v>
      </c>
      <c r="C20" s="823" t="s">
        <v>4083</v>
      </c>
      <c r="D20" s="823" t="s">
        <v>142</v>
      </c>
      <c r="E20" s="823">
        <v>5000</v>
      </c>
      <c r="F20" s="823">
        <v>50</v>
      </c>
      <c r="G20" s="823">
        <v>10000</v>
      </c>
      <c r="H20" s="823">
        <v>50</v>
      </c>
      <c r="I20" s="824">
        <v>20000</v>
      </c>
      <c r="J20" s="824">
        <v>50</v>
      </c>
      <c r="K20" s="823">
        <v>10</v>
      </c>
      <c r="L20" s="823">
        <v>20</v>
      </c>
      <c r="M20" s="823">
        <v>50</v>
      </c>
      <c r="N20" s="823"/>
      <c r="O20" s="823"/>
      <c r="P20" s="823">
        <v>0</v>
      </c>
      <c r="Q20" s="823"/>
      <c r="R20" s="815" t="str">
        <f t="shared" si="4"/>
        <v>10-20 IE/kg/uur</v>
      </c>
      <c r="S20" s="815">
        <f t="shared" si="0"/>
        <v>5000</v>
      </c>
      <c r="T20" s="815">
        <f t="shared" si="1"/>
        <v>50</v>
      </c>
      <c r="U20" s="815" t="b">
        <f t="shared" si="5"/>
        <v>1</v>
      </c>
      <c r="V20" s="815">
        <f t="shared" si="2"/>
        <v>1</v>
      </c>
    </row>
    <row r="21" spans="1:22" x14ac:dyDescent="0.2">
      <c r="A21" s="814">
        <f t="shared" si="3"/>
        <v>18</v>
      </c>
      <c r="B21" s="823" t="s">
        <v>371</v>
      </c>
      <c r="C21" s="823" t="s">
        <v>4083</v>
      </c>
      <c r="D21" s="823" t="s">
        <v>142</v>
      </c>
      <c r="E21" s="823">
        <v>10</v>
      </c>
      <c r="F21" s="823">
        <v>50</v>
      </c>
      <c r="G21" s="823">
        <v>10</v>
      </c>
      <c r="H21" s="823">
        <v>50</v>
      </c>
      <c r="I21" s="824">
        <v>50</v>
      </c>
      <c r="J21" s="824">
        <v>50</v>
      </c>
      <c r="K21" s="823">
        <v>0.02</v>
      </c>
      <c r="L21" s="823">
        <v>0.125</v>
      </c>
      <c r="M21" s="823">
        <v>2</v>
      </c>
      <c r="N21" s="823"/>
      <c r="O21" s="823">
        <v>1</v>
      </c>
      <c r="P21" s="823">
        <v>2</v>
      </c>
      <c r="Q21" s="823"/>
      <c r="R21" s="815" t="str">
        <f t="shared" si="4"/>
        <v>0.02-0.125 IE/kg/uur</v>
      </c>
      <c r="S21" s="815">
        <f t="shared" si="0"/>
        <v>10</v>
      </c>
      <c r="T21" s="815">
        <f t="shared" si="1"/>
        <v>50</v>
      </c>
      <c r="U21" s="815" t="b">
        <f t="shared" si="5"/>
        <v>1</v>
      </c>
      <c r="V21" s="815">
        <f t="shared" si="2"/>
        <v>1</v>
      </c>
    </row>
    <row r="22" spans="1:22" x14ac:dyDescent="0.2">
      <c r="A22" s="814">
        <f t="shared" si="3"/>
        <v>19</v>
      </c>
      <c r="B22" s="823" t="s">
        <v>313</v>
      </c>
      <c r="C22" s="823" t="s">
        <v>121</v>
      </c>
      <c r="D22" s="823" t="s">
        <v>468</v>
      </c>
      <c r="E22" s="823">
        <v>2</v>
      </c>
      <c r="F22" s="823">
        <v>50</v>
      </c>
      <c r="G22" s="823">
        <v>2</v>
      </c>
      <c r="H22" s="823">
        <v>50</v>
      </c>
      <c r="I22" s="824">
        <v>2</v>
      </c>
      <c r="J22" s="824">
        <v>50</v>
      </c>
      <c r="K22" s="823">
        <v>0.01</v>
      </c>
      <c r="L22" s="823">
        <v>1.5</v>
      </c>
      <c r="M22" s="823">
        <v>3</v>
      </c>
      <c r="N22" s="823"/>
      <c r="O22" s="823">
        <v>1</v>
      </c>
      <c r="P22" s="823">
        <v>0</v>
      </c>
      <c r="Q22" s="823"/>
      <c r="R22" s="815" t="str">
        <f t="shared" si="4"/>
        <v>0.01-1.5 microg/kg/min</v>
      </c>
      <c r="S22" s="815">
        <f t="shared" si="0"/>
        <v>2</v>
      </c>
      <c r="T22" s="815">
        <f t="shared" si="1"/>
        <v>50</v>
      </c>
      <c r="U22" s="815" t="b">
        <f t="shared" si="5"/>
        <v>1</v>
      </c>
      <c r="V22" s="815">
        <f t="shared" si="2"/>
        <v>16.666666666666668</v>
      </c>
    </row>
    <row r="23" spans="1:22" x14ac:dyDescent="0.2">
      <c r="A23" s="814">
        <f t="shared" si="3"/>
        <v>20</v>
      </c>
      <c r="B23" s="823" t="s">
        <v>372</v>
      </c>
      <c r="C23" s="823" t="s">
        <v>121</v>
      </c>
      <c r="D23" s="823" t="s">
        <v>288</v>
      </c>
      <c r="E23" s="823">
        <v>250</v>
      </c>
      <c r="F23" s="823">
        <v>50</v>
      </c>
      <c r="G23" s="823">
        <v>250</v>
      </c>
      <c r="H23" s="823">
        <v>50</v>
      </c>
      <c r="I23" s="824">
        <v>250</v>
      </c>
      <c r="J23" s="824">
        <v>50</v>
      </c>
      <c r="K23" s="823">
        <v>0.25</v>
      </c>
      <c r="L23" s="823">
        <v>3</v>
      </c>
      <c r="M23" s="823">
        <v>4</v>
      </c>
      <c r="N23" s="823"/>
      <c r="O23" s="823">
        <v>5</v>
      </c>
      <c r="P23" s="823">
        <v>0</v>
      </c>
      <c r="Q23" s="823"/>
      <c r="R23" s="815" t="str">
        <f t="shared" si="4"/>
        <v>0.25-3 mg/kg/uur</v>
      </c>
      <c r="S23" s="815">
        <f t="shared" si="0"/>
        <v>250</v>
      </c>
      <c r="T23" s="815">
        <f t="shared" si="1"/>
        <v>50</v>
      </c>
      <c r="U23" s="815" t="b">
        <f t="shared" si="5"/>
        <v>1</v>
      </c>
      <c r="V23" s="815">
        <f t="shared" si="2"/>
        <v>1</v>
      </c>
    </row>
    <row r="24" spans="1:22" x14ac:dyDescent="0.2">
      <c r="A24" s="814">
        <f t="shared" si="3"/>
        <v>21</v>
      </c>
      <c r="B24" s="823" t="s">
        <v>373</v>
      </c>
      <c r="C24" s="823" t="s">
        <v>121</v>
      </c>
      <c r="D24" s="823" t="s">
        <v>288</v>
      </c>
      <c r="E24" s="823">
        <v>500</v>
      </c>
      <c r="F24" s="823">
        <v>50</v>
      </c>
      <c r="G24" s="823">
        <v>1000</v>
      </c>
      <c r="H24" s="823">
        <v>50</v>
      </c>
      <c r="I24" s="824">
        <v>2000</v>
      </c>
      <c r="J24" s="824">
        <v>50</v>
      </c>
      <c r="K24" s="823">
        <v>3</v>
      </c>
      <c r="L24" s="823">
        <v>20</v>
      </c>
      <c r="M24" s="823">
        <v>25</v>
      </c>
      <c r="N24" s="823"/>
      <c r="O24" s="823"/>
      <c r="P24" s="823">
        <v>0</v>
      </c>
      <c r="Q24" s="823"/>
      <c r="R24" s="815" t="str">
        <f t="shared" si="4"/>
        <v>3-20 mg/kg/uur</v>
      </c>
      <c r="S24" s="815">
        <f t="shared" si="0"/>
        <v>500</v>
      </c>
      <c r="T24" s="815">
        <f t="shared" si="1"/>
        <v>50</v>
      </c>
      <c r="U24" s="815" t="b">
        <f t="shared" si="5"/>
        <v>1</v>
      </c>
      <c r="V24" s="815">
        <f t="shared" si="2"/>
        <v>1</v>
      </c>
    </row>
    <row r="25" spans="1:22" x14ac:dyDescent="0.2">
      <c r="A25" s="814">
        <f t="shared" si="3"/>
        <v>22</v>
      </c>
      <c r="B25" s="823" t="s">
        <v>283</v>
      </c>
      <c r="C25" s="823" t="s">
        <v>121</v>
      </c>
      <c r="D25" s="823" t="s">
        <v>288</v>
      </c>
      <c r="E25" s="823">
        <v>25</v>
      </c>
      <c r="F25" s="823">
        <v>50</v>
      </c>
      <c r="G25" s="823">
        <v>50</v>
      </c>
      <c r="H25" s="823">
        <v>50</v>
      </c>
      <c r="I25" s="824">
        <v>50</v>
      </c>
      <c r="J25" s="824">
        <v>50</v>
      </c>
      <c r="K25" s="823">
        <v>0.05</v>
      </c>
      <c r="L25" s="823">
        <v>0.5</v>
      </c>
      <c r="M25" s="823">
        <v>1</v>
      </c>
      <c r="N25" s="823"/>
      <c r="O25" s="823">
        <v>5</v>
      </c>
      <c r="P25" s="823">
        <v>0</v>
      </c>
      <c r="Q25" s="823"/>
      <c r="R25" s="815" t="str">
        <f t="shared" si="4"/>
        <v>0.05-0.5 mg/kg/uur</v>
      </c>
      <c r="S25" s="815">
        <f t="shared" si="0"/>
        <v>25</v>
      </c>
      <c r="T25" s="815">
        <f t="shared" si="1"/>
        <v>50</v>
      </c>
      <c r="U25" s="815" t="b">
        <f t="shared" si="5"/>
        <v>1</v>
      </c>
      <c r="V25" s="815">
        <f t="shared" si="2"/>
        <v>1</v>
      </c>
    </row>
    <row r="26" spans="1:22" x14ac:dyDescent="0.2">
      <c r="A26" s="814">
        <f t="shared" si="3"/>
        <v>23</v>
      </c>
      <c r="B26" s="823" t="s">
        <v>374</v>
      </c>
      <c r="C26" s="823" t="s">
        <v>121</v>
      </c>
      <c r="D26" s="823" t="s">
        <v>468</v>
      </c>
      <c r="E26" s="823">
        <v>5</v>
      </c>
      <c r="F26" s="823">
        <v>50</v>
      </c>
      <c r="G26" s="823">
        <v>10</v>
      </c>
      <c r="H26" s="823">
        <v>50</v>
      </c>
      <c r="I26" s="824">
        <v>20</v>
      </c>
      <c r="J26" s="824">
        <v>50</v>
      </c>
      <c r="K26" s="823">
        <v>0.15</v>
      </c>
      <c r="L26" s="823">
        <v>0.5</v>
      </c>
      <c r="M26" s="823">
        <v>0.75</v>
      </c>
      <c r="N26" s="823"/>
      <c r="O26" s="823">
        <v>1</v>
      </c>
      <c r="P26" s="823">
        <v>0</v>
      </c>
      <c r="Q26" s="823"/>
      <c r="R26" s="815" t="str">
        <f t="shared" si="4"/>
        <v>0.15-0.5 microg/kg/min</v>
      </c>
      <c r="S26" s="815">
        <f t="shared" si="0"/>
        <v>5</v>
      </c>
      <c r="T26" s="815">
        <f t="shared" si="1"/>
        <v>50</v>
      </c>
      <c r="U26" s="815" t="b">
        <f t="shared" si="5"/>
        <v>1</v>
      </c>
      <c r="V26" s="815">
        <f t="shared" si="2"/>
        <v>16.666666666666668</v>
      </c>
    </row>
    <row r="27" spans="1:22" x14ac:dyDescent="0.2">
      <c r="A27" s="814">
        <f t="shared" si="3"/>
        <v>24</v>
      </c>
      <c r="B27" s="823" t="s">
        <v>90</v>
      </c>
      <c r="C27" s="823" t="s">
        <v>121</v>
      </c>
      <c r="D27" s="823" t="s">
        <v>289</v>
      </c>
      <c r="E27" s="823">
        <v>2</v>
      </c>
      <c r="F27" s="823">
        <v>50</v>
      </c>
      <c r="G27" s="823">
        <v>5</v>
      </c>
      <c r="H27" s="823">
        <v>50</v>
      </c>
      <c r="I27" s="824">
        <v>10</v>
      </c>
      <c r="J27" s="824">
        <v>50</v>
      </c>
      <c r="K27" s="823">
        <v>0.1</v>
      </c>
      <c r="L27" s="823">
        <v>0.5</v>
      </c>
      <c r="M27" s="823">
        <v>1</v>
      </c>
      <c r="N27" s="823"/>
      <c r="O27" s="823">
        <v>1</v>
      </c>
      <c r="P27" s="823">
        <v>0</v>
      </c>
      <c r="Q27" s="823"/>
      <c r="R27" s="815" t="str">
        <f t="shared" si="4"/>
        <v>0.1-0.5 mg/kg/dag</v>
      </c>
      <c r="S27" s="815">
        <f t="shared" si="0"/>
        <v>2</v>
      </c>
      <c r="T27" s="815">
        <f t="shared" si="1"/>
        <v>50</v>
      </c>
      <c r="U27" s="815" t="b">
        <f t="shared" si="5"/>
        <v>1</v>
      </c>
      <c r="V27" s="815">
        <f t="shared" si="2"/>
        <v>24</v>
      </c>
    </row>
    <row r="28" spans="1:22" x14ac:dyDescent="0.2">
      <c r="A28" s="814">
        <f t="shared" si="3"/>
        <v>25</v>
      </c>
      <c r="B28" s="823" t="s">
        <v>265</v>
      </c>
      <c r="C28" s="823" t="s">
        <v>382</v>
      </c>
      <c r="D28" s="823" t="s">
        <v>311</v>
      </c>
      <c r="E28" s="823">
        <v>25</v>
      </c>
      <c r="F28" s="823">
        <v>50</v>
      </c>
      <c r="G28" s="823">
        <v>25</v>
      </c>
      <c r="H28" s="823">
        <v>50</v>
      </c>
      <c r="I28" s="824">
        <v>25</v>
      </c>
      <c r="J28" s="824">
        <v>50</v>
      </c>
      <c r="K28" s="823">
        <v>2</v>
      </c>
      <c r="L28" s="823">
        <v>4</v>
      </c>
      <c r="M28" s="823">
        <v>6</v>
      </c>
      <c r="N28" s="823"/>
      <c r="O28" s="823"/>
      <c r="P28" s="823">
        <v>0</v>
      </c>
      <c r="Q28" s="823"/>
      <c r="R28" s="815" t="str">
        <f t="shared" si="4"/>
        <v>2-4 mmol/kg/dag</v>
      </c>
      <c r="S28" s="815">
        <f t="shared" si="0"/>
        <v>25</v>
      </c>
      <c r="T28" s="815">
        <f t="shared" si="1"/>
        <v>50</v>
      </c>
      <c r="U28" s="815" t="b">
        <f t="shared" si="5"/>
        <v>1</v>
      </c>
      <c r="V28" s="815">
        <f t="shared" si="2"/>
        <v>24</v>
      </c>
    </row>
    <row r="29" spans="1:22" x14ac:dyDescent="0.2">
      <c r="A29" s="814">
        <f t="shared" si="3"/>
        <v>26</v>
      </c>
      <c r="B29" s="823" t="s">
        <v>49</v>
      </c>
      <c r="C29" s="823" t="s">
        <v>121</v>
      </c>
      <c r="D29" s="823" t="s">
        <v>468</v>
      </c>
      <c r="E29" s="823">
        <v>10</v>
      </c>
      <c r="F29" s="823">
        <v>50</v>
      </c>
      <c r="G29" s="823">
        <v>20</v>
      </c>
      <c r="H29" s="823">
        <v>50</v>
      </c>
      <c r="I29" s="824">
        <v>40</v>
      </c>
      <c r="J29" s="824">
        <v>50</v>
      </c>
      <c r="K29" s="823">
        <v>0.5</v>
      </c>
      <c r="L29" s="823">
        <v>8</v>
      </c>
      <c r="M29" s="823">
        <v>10</v>
      </c>
      <c r="N29" s="823"/>
      <c r="O29" s="823">
        <v>10</v>
      </c>
      <c r="P29" s="823">
        <v>0</v>
      </c>
      <c r="Q29" s="823"/>
      <c r="R29" s="815" t="str">
        <f t="shared" si="4"/>
        <v>0.5-8 microg/kg/min</v>
      </c>
      <c r="S29" s="815">
        <f t="shared" si="0"/>
        <v>10</v>
      </c>
      <c r="T29" s="815">
        <f t="shared" si="1"/>
        <v>50</v>
      </c>
      <c r="U29" s="815" t="b">
        <f t="shared" si="5"/>
        <v>1</v>
      </c>
      <c r="V29" s="815">
        <f t="shared" si="2"/>
        <v>16.666666666666668</v>
      </c>
    </row>
    <row r="30" spans="1:22" x14ac:dyDescent="0.2">
      <c r="A30" s="814">
        <f t="shared" si="3"/>
        <v>27</v>
      </c>
      <c r="B30" s="823" t="s">
        <v>309</v>
      </c>
      <c r="C30" s="823" t="s">
        <v>121</v>
      </c>
      <c r="D30" s="823" t="s">
        <v>468</v>
      </c>
      <c r="E30" s="823">
        <v>1</v>
      </c>
      <c r="F30" s="823">
        <v>50</v>
      </c>
      <c r="G30" s="823">
        <v>2</v>
      </c>
      <c r="H30" s="823">
        <v>50</v>
      </c>
      <c r="I30" s="824">
        <v>5</v>
      </c>
      <c r="J30" s="824">
        <v>50</v>
      </c>
      <c r="K30" s="823">
        <v>0.05</v>
      </c>
      <c r="L30" s="823">
        <v>0.5</v>
      </c>
      <c r="M30" s="823">
        <v>1</v>
      </c>
      <c r="N30" s="823"/>
      <c r="O30" s="823">
        <v>1</v>
      </c>
      <c r="P30" s="823">
        <v>0</v>
      </c>
      <c r="Q30" s="823"/>
      <c r="R30" s="815" t="str">
        <f t="shared" si="4"/>
        <v>0.05-0.5 microg/kg/min</v>
      </c>
      <c r="S30" s="815">
        <f t="shared" si="0"/>
        <v>1</v>
      </c>
      <c r="T30" s="815">
        <f t="shared" si="1"/>
        <v>50</v>
      </c>
      <c r="U30" s="815" t="b">
        <f t="shared" si="5"/>
        <v>1</v>
      </c>
      <c r="V30" s="815">
        <f t="shared" si="2"/>
        <v>16.666666666666668</v>
      </c>
    </row>
    <row r="31" spans="1:22" x14ac:dyDescent="0.2">
      <c r="A31" s="814">
        <f t="shared" si="3"/>
        <v>28</v>
      </c>
      <c r="B31" s="823" t="s">
        <v>256</v>
      </c>
      <c r="C31" s="823" t="s">
        <v>121</v>
      </c>
      <c r="D31" s="823" t="s">
        <v>288</v>
      </c>
      <c r="E31" s="823">
        <v>10</v>
      </c>
      <c r="F31" s="823">
        <v>1</v>
      </c>
      <c r="G31" s="823">
        <v>10</v>
      </c>
      <c r="H31" s="823">
        <v>1</v>
      </c>
      <c r="I31" s="824">
        <v>10</v>
      </c>
      <c r="J31" s="824">
        <v>1</v>
      </c>
      <c r="K31" s="823">
        <v>1</v>
      </c>
      <c r="L31" s="823">
        <v>4</v>
      </c>
      <c r="M31" s="823">
        <v>4</v>
      </c>
      <c r="N31" s="823"/>
      <c r="O31" s="823"/>
      <c r="P31" s="823">
        <v>1</v>
      </c>
      <c r="Q31" s="823"/>
      <c r="R31" s="815" t="str">
        <f t="shared" si="4"/>
        <v>1-4 mg/kg/uur</v>
      </c>
      <c r="S31" s="815">
        <f t="shared" si="0"/>
        <v>10</v>
      </c>
      <c r="T31" s="815">
        <f t="shared" si="1"/>
        <v>1</v>
      </c>
      <c r="U31" s="815" t="b">
        <f t="shared" si="5"/>
        <v>1</v>
      </c>
      <c r="V31" s="815">
        <f t="shared" si="2"/>
        <v>1</v>
      </c>
    </row>
    <row r="32" spans="1:22" x14ac:dyDescent="0.2">
      <c r="A32" s="814">
        <f t="shared" si="3"/>
        <v>29</v>
      </c>
      <c r="B32" s="823" t="s">
        <v>257</v>
      </c>
      <c r="C32" s="823" t="s">
        <v>121</v>
      </c>
      <c r="D32" s="823" t="s">
        <v>288</v>
      </c>
      <c r="E32" s="823">
        <v>20</v>
      </c>
      <c r="F32" s="823">
        <v>1</v>
      </c>
      <c r="G32" s="823">
        <v>20</v>
      </c>
      <c r="H32" s="823">
        <v>1</v>
      </c>
      <c r="I32" s="824">
        <v>20</v>
      </c>
      <c r="J32" s="824">
        <v>1</v>
      </c>
      <c r="K32" s="823">
        <v>1</v>
      </c>
      <c r="L32" s="823">
        <v>4</v>
      </c>
      <c r="M32" s="823">
        <v>4</v>
      </c>
      <c r="N32" s="823"/>
      <c r="O32" s="823"/>
      <c r="P32" s="823">
        <v>1</v>
      </c>
      <c r="Q32" s="823"/>
      <c r="R32" s="815" t="str">
        <f t="shared" si="4"/>
        <v>1-4 mg/kg/uur</v>
      </c>
      <c r="S32" s="815">
        <f t="shared" si="0"/>
        <v>20</v>
      </c>
      <c r="T32" s="815">
        <f t="shared" si="1"/>
        <v>1</v>
      </c>
      <c r="U32" s="815" t="b">
        <f t="shared" si="5"/>
        <v>1</v>
      </c>
      <c r="V32" s="815">
        <f t="shared" si="2"/>
        <v>1</v>
      </c>
    </row>
    <row r="33" spans="1:22" x14ac:dyDescent="0.2">
      <c r="A33" s="814">
        <f t="shared" si="3"/>
        <v>30</v>
      </c>
      <c r="B33" s="823" t="s">
        <v>211</v>
      </c>
      <c r="C33" s="823" t="s">
        <v>121</v>
      </c>
      <c r="D33" s="823" t="s">
        <v>288</v>
      </c>
      <c r="E33" s="823">
        <v>50</v>
      </c>
      <c r="F33" s="823">
        <v>50</v>
      </c>
      <c r="G33" s="823">
        <v>100</v>
      </c>
      <c r="H33" s="823">
        <v>50</v>
      </c>
      <c r="I33" s="824">
        <v>200</v>
      </c>
      <c r="J33" s="824">
        <v>50</v>
      </c>
      <c r="K33" s="823">
        <v>0.6</v>
      </c>
      <c r="L33" s="823">
        <v>1.2</v>
      </c>
      <c r="M33" s="823">
        <v>2</v>
      </c>
      <c r="N33" s="823"/>
      <c r="O33" s="823">
        <v>10</v>
      </c>
      <c r="P33" s="823">
        <v>0</v>
      </c>
      <c r="Q33" s="823"/>
      <c r="R33" s="815" t="str">
        <f t="shared" si="4"/>
        <v>0.6-1.2 mg/kg/uur</v>
      </c>
      <c r="S33" s="815">
        <f t="shared" si="0"/>
        <v>50</v>
      </c>
      <c r="T33" s="815">
        <f t="shared" si="1"/>
        <v>50</v>
      </c>
      <c r="U33" s="815" t="b">
        <f t="shared" si="5"/>
        <v>1</v>
      </c>
      <c r="V33" s="815">
        <f t="shared" si="2"/>
        <v>1</v>
      </c>
    </row>
    <row r="34" spans="1:22" x14ac:dyDescent="0.2">
      <c r="A34" s="814">
        <f t="shared" si="3"/>
        <v>31</v>
      </c>
      <c r="B34" s="823" t="s">
        <v>26</v>
      </c>
      <c r="C34" s="823" t="s">
        <v>121</v>
      </c>
      <c r="D34" s="823" t="s">
        <v>468</v>
      </c>
      <c r="E34" s="823">
        <v>5</v>
      </c>
      <c r="F34" s="823">
        <v>50</v>
      </c>
      <c r="G34" s="823">
        <v>10</v>
      </c>
      <c r="H34" s="823">
        <v>50</v>
      </c>
      <c r="I34" s="824">
        <v>20</v>
      </c>
      <c r="J34" s="824">
        <v>50</v>
      </c>
      <c r="K34" s="823">
        <v>0.1</v>
      </c>
      <c r="L34" s="823">
        <v>10</v>
      </c>
      <c r="M34" s="823">
        <v>15</v>
      </c>
      <c r="N34" s="823"/>
      <c r="O34" s="823"/>
      <c r="P34" s="823">
        <v>0</v>
      </c>
      <c r="Q34" s="823"/>
      <c r="R34" s="815" t="str">
        <f t="shared" si="4"/>
        <v>0.1-10 microg/kg/min</v>
      </c>
      <c r="S34" s="815">
        <f t="shared" si="0"/>
        <v>5</v>
      </c>
      <c r="T34" s="815">
        <f t="shared" si="1"/>
        <v>50</v>
      </c>
      <c r="U34" s="815" t="b">
        <f t="shared" si="5"/>
        <v>1</v>
      </c>
      <c r="V34" s="815">
        <f t="shared" si="2"/>
        <v>16.666666666666668</v>
      </c>
    </row>
    <row r="35" spans="1:22" x14ac:dyDescent="0.2">
      <c r="A35" s="814">
        <f t="shared" si="3"/>
        <v>32</v>
      </c>
      <c r="B35" s="823" t="s">
        <v>281</v>
      </c>
      <c r="C35" s="823" t="s">
        <v>121</v>
      </c>
      <c r="D35" s="823" t="s">
        <v>288</v>
      </c>
      <c r="E35" s="823">
        <v>1000</v>
      </c>
      <c r="F35" s="823">
        <v>50</v>
      </c>
      <c r="G35" s="823">
        <v>2000</v>
      </c>
      <c r="H35" s="823">
        <v>50</v>
      </c>
      <c r="I35" s="824">
        <v>4000</v>
      </c>
      <c r="J35" s="824">
        <v>50</v>
      </c>
      <c r="K35" s="823">
        <v>5</v>
      </c>
      <c r="L35" s="823">
        <v>10</v>
      </c>
      <c r="M35" s="823">
        <v>20</v>
      </c>
      <c r="N35" s="823"/>
      <c r="O35" s="823"/>
      <c r="P35" s="823">
        <v>0</v>
      </c>
      <c r="Q35" s="823" t="s">
        <v>352</v>
      </c>
      <c r="R35" s="815" t="str">
        <f t="shared" si="4"/>
        <v>Op geleide van spiegels</v>
      </c>
      <c r="S35" s="815">
        <f t="shared" si="0"/>
        <v>1000</v>
      </c>
      <c r="T35" s="815">
        <f t="shared" si="1"/>
        <v>50</v>
      </c>
      <c r="U35" s="815" t="b">
        <f t="shared" si="5"/>
        <v>1</v>
      </c>
      <c r="V35" s="815">
        <f t="shared" si="2"/>
        <v>1</v>
      </c>
    </row>
    <row r="36" spans="1:22" x14ac:dyDescent="0.2">
      <c r="A36" s="821" t="s">
        <v>4120</v>
      </c>
      <c r="B36" s="822">
        <v>1</v>
      </c>
      <c r="C36" s="822">
        <f>B36+1</f>
        <v>2</v>
      </c>
      <c r="D36" s="822">
        <f t="shared" ref="D36:T36" si="6">C36+1</f>
        <v>3</v>
      </c>
      <c r="E36" s="822">
        <f t="shared" si="6"/>
        <v>4</v>
      </c>
      <c r="F36" s="822">
        <f t="shared" si="6"/>
        <v>5</v>
      </c>
      <c r="G36" s="822">
        <f t="shared" si="6"/>
        <v>6</v>
      </c>
      <c r="H36" s="822">
        <f t="shared" si="6"/>
        <v>7</v>
      </c>
      <c r="I36" s="822">
        <f t="shared" si="6"/>
        <v>8</v>
      </c>
      <c r="J36" s="822">
        <f t="shared" si="6"/>
        <v>9</v>
      </c>
      <c r="K36" s="822">
        <f t="shared" si="6"/>
        <v>10</v>
      </c>
      <c r="L36" s="822">
        <f t="shared" si="6"/>
        <v>11</v>
      </c>
      <c r="M36" s="822">
        <f t="shared" si="6"/>
        <v>12</v>
      </c>
      <c r="N36" s="822">
        <v>13</v>
      </c>
      <c r="O36" s="822">
        <v>14</v>
      </c>
      <c r="P36" s="822">
        <v>15</v>
      </c>
      <c r="Q36" s="822">
        <f t="shared" si="6"/>
        <v>16</v>
      </c>
      <c r="R36" s="822">
        <f t="shared" si="6"/>
        <v>17</v>
      </c>
      <c r="S36" s="822">
        <f t="shared" si="6"/>
        <v>18</v>
      </c>
      <c r="T36" s="822">
        <f t="shared" si="6"/>
        <v>19</v>
      </c>
      <c r="U36" s="822">
        <f t="shared" ref="U36" si="7">T36+1</f>
        <v>20</v>
      </c>
      <c r="V36" s="822">
        <f t="shared" ref="V36" si="8">U36+1</f>
        <v>21</v>
      </c>
    </row>
  </sheetData>
  <sheetProtection selectLockedCells="1"/>
  <protectedRanges>
    <protectedRange password="CC20" sqref="B5:Q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0" customWidth="1"/>
    <col min="2" max="2" width="6" style="380" customWidth="1"/>
    <col min="3" max="3" width="3" style="380" customWidth="1"/>
    <col min="4" max="4" width="16.5703125" style="380" customWidth="1"/>
    <col min="5" max="5" width="17.28515625" style="380" customWidth="1"/>
    <col min="6" max="6" width="17.5703125" style="380" customWidth="1"/>
    <col min="7" max="7" width="18.5703125" style="380" customWidth="1"/>
    <col min="8" max="8" width="18.28515625" style="380" customWidth="1"/>
    <col min="9" max="9" width="9.7109375" style="380" customWidth="1"/>
    <col min="10" max="10" width="9.140625" style="380"/>
    <col min="11" max="11" width="9.42578125" style="380" bestFit="1" customWidth="1"/>
    <col min="12" max="12" width="9.28515625" style="380" bestFit="1" customWidth="1"/>
    <col min="13" max="16384" width="9.140625" style="380"/>
  </cols>
  <sheetData>
    <row r="1" spans="2:15" s="374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</row>
    <row r="2" spans="2:15" s="374" customFormat="1" ht="17.25" customHeight="1" x14ac:dyDescent="0.2">
      <c r="B2" s="644"/>
      <c r="C2" s="644"/>
      <c r="D2" s="647" t="s">
        <v>235</v>
      </c>
      <c r="E2" s="648" t="str">
        <f ca="1">Txt_Pat_AfspraakDat</f>
        <v>24-sep-2017</v>
      </c>
      <c r="F2" s="647"/>
      <c r="G2" s="657"/>
      <c r="H2" s="651" t="s">
        <v>236</v>
      </c>
      <c r="I2" s="651" t="str">
        <f>Txt_Pat_OpnameDat</f>
        <v/>
      </c>
      <c r="J2" s="659"/>
      <c r="K2" s="647"/>
      <c r="L2" s="644" t="str">
        <f>Txt_Pat_Gewicht</f>
        <v>Gewicht:</v>
      </c>
      <c r="M2" s="644"/>
      <c r="N2" s="644" t="str">
        <f>Txt_Pat_Bed</f>
        <v/>
      </c>
      <c r="O2" s="644"/>
    </row>
    <row r="3" spans="2:15" s="374" customFormat="1" ht="17.25" customHeight="1" x14ac:dyDescent="0.2">
      <c r="B3" s="644"/>
      <c r="C3" s="644"/>
      <c r="D3" s="647" t="s">
        <v>27</v>
      </c>
      <c r="E3" s="652" t="str">
        <f>Txt_Pat_FullName</f>
        <v/>
      </c>
      <c r="F3" s="647"/>
      <c r="G3" s="658"/>
      <c r="H3" s="651" t="s">
        <v>242</v>
      </c>
      <c r="I3" s="651" t="str">
        <f ca="1">Txt_Pat_GeboorteDat</f>
        <v/>
      </c>
      <c r="J3" s="647"/>
      <c r="K3" s="647"/>
      <c r="L3" s="647" t="str">
        <f>Txt_Pat_Lengte</f>
        <v>Lengte:</v>
      </c>
      <c r="M3" s="644"/>
      <c r="N3" s="644"/>
      <c r="O3" s="644"/>
    </row>
    <row r="4" spans="2:15" s="374" customFormat="1" ht="17.25" customHeight="1" x14ac:dyDescent="0.2">
      <c r="B4" s="644"/>
      <c r="C4" s="644"/>
      <c r="D4" s="653" t="s">
        <v>3493</v>
      </c>
      <c r="E4" s="647" t="str">
        <f>Txt_Pat_PatNo</f>
        <v/>
      </c>
      <c r="F4" s="647"/>
      <c r="G4" s="644"/>
      <c r="H4" s="651" t="s">
        <v>213</v>
      </c>
      <c r="I4" s="651" t="str">
        <f ca="1">Txt_Pat_Leeftijd</f>
        <v/>
      </c>
      <c r="J4" s="647"/>
      <c r="K4" s="647"/>
      <c r="L4" s="647" t="str">
        <f>Txt_Pat_Oppervlak</f>
        <v>Lichamelijk oppervlak:</v>
      </c>
      <c r="M4" s="644"/>
      <c r="N4" s="644"/>
      <c r="O4" s="644"/>
    </row>
    <row r="5" spans="2:15" s="374" customFormat="1" ht="8.1" customHeight="1" x14ac:dyDescent="0.2">
      <c r="B5" s="644"/>
      <c r="C5" s="644"/>
      <c r="D5" s="647"/>
      <c r="E5" s="647"/>
      <c r="F5" s="649"/>
      <c r="G5" s="647"/>
      <c r="H5" s="655"/>
      <c r="I5" s="647"/>
      <c r="J5" s="647"/>
      <c r="K5" s="647"/>
      <c r="L5" s="647"/>
      <c r="M5" s="644"/>
      <c r="N5" s="644"/>
      <c r="O5" s="644"/>
    </row>
    <row r="6" spans="2:15" ht="12.75" customHeight="1" x14ac:dyDescent="0.2"/>
    <row r="7" spans="2:15" ht="20.100000000000001" customHeight="1" x14ac:dyDescent="0.2">
      <c r="B7" s="687" t="s">
        <v>3327</v>
      </c>
      <c r="C7" s="692"/>
      <c r="D7" s="693" t="s">
        <v>25</v>
      </c>
      <c r="E7" s="687"/>
      <c r="F7" s="687"/>
      <c r="G7" s="687"/>
      <c r="H7" s="687"/>
      <c r="I7" s="687"/>
      <c r="J7" s="687"/>
      <c r="K7" s="687"/>
      <c r="L7" s="687"/>
      <c r="M7" s="687"/>
      <c r="N7" s="687"/>
      <c r="O7" s="687"/>
    </row>
    <row r="8" spans="2:15" ht="9" customHeight="1" x14ac:dyDescent="0.2">
      <c r="B8" s="389"/>
      <c r="J8" s="374"/>
      <c r="K8" s="379"/>
      <c r="L8" s="379"/>
      <c r="M8" s="379"/>
      <c r="N8" s="379"/>
    </row>
    <row r="9" spans="2:15" ht="20.100000000000001" customHeight="1" x14ac:dyDescent="0.2">
      <c r="B9" s="388" t="str">
        <f>PedBerIVenPM!D2</f>
        <v/>
      </c>
      <c r="C9" s="675">
        <v>1</v>
      </c>
      <c r="E9" s="542"/>
      <c r="H9" s="380" t="str">
        <f>PedBerIVenPM!C2</f>
        <v/>
      </c>
      <c r="J9" s="374"/>
      <c r="K9" s="381"/>
      <c r="L9" s="382"/>
      <c r="M9" s="379"/>
      <c r="N9" s="379"/>
    </row>
    <row r="10" spans="2:15" ht="20.100000000000001" customHeight="1" x14ac:dyDescent="0.2">
      <c r="B10" s="388" t="str">
        <f>PedBerIVenPM!D3</f>
        <v/>
      </c>
      <c r="C10" s="675">
        <v>2</v>
      </c>
      <c r="H10" s="380" t="str">
        <f>PedBerIVenPM!C3</f>
        <v/>
      </c>
      <c r="J10" s="374"/>
      <c r="K10" s="382"/>
      <c r="L10" s="382"/>
      <c r="M10" s="379"/>
      <c r="N10" s="379"/>
    </row>
    <row r="11" spans="2:15" ht="20.100000000000001" customHeight="1" x14ac:dyDescent="0.2">
      <c r="B11" s="388" t="str">
        <f>PedBerIVenPM!D4</f>
        <v/>
      </c>
      <c r="C11" s="675">
        <v>3</v>
      </c>
      <c r="H11" s="380" t="str">
        <f>PedBerIVenPM!C4</f>
        <v/>
      </c>
      <c r="J11" s="374"/>
      <c r="M11" s="379"/>
      <c r="N11" s="379"/>
    </row>
    <row r="12" spans="2:15" ht="20.100000000000001" customHeight="1" x14ac:dyDescent="0.2">
      <c r="B12" s="388" t="str">
        <f>PedBerIVenPM!D5</f>
        <v/>
      </c>
      <c r="C12" s="675">
        <v>4</v>
      </c>
      <c r="H12" s="380" t="str">
        <f>PedBerIVenPM!C5</f>
        <v/>
      </c>
      <c r="J12" s="374"/>
      <c r="M12" s="379"/>
      <c r="N12" s="379"/>
    </row>
    <row r="13" spans="2:15" ht="20.100000000000001" customHeight="1" x14ac:dyDescent="0.2">
      <c r="B13" s="388" t="str">
        <f>PedBerIVenPM!D6</f>
        <v/>
      </c>
      <c r="C13" s="675">
        <v>5</v>
      </c>
      <c r="H13" s="380" t="str">
        <f>PedBerIVenPM!C6</f>
        <v/>
      </c>
      <c r="J13" s="374"/>
      <c r="M13" s="379"/>
      <c r="N13" s="379"/>
    </row>
    <row r="14" spans="2:15" ht="20.100000000000001" customHeight="1" x14ac:dyDescent="0.2">
      <c r="B14" s="388" t="str">
        <f>PedBerIVenPM!D7</f>
        <v/>
      </c>
      <c r="C14" s="675">
        <v>6</v>
      </c>
      <c r="D14" s="374"/>
      <c r="E14" s="374"/>
      <c r="F14" s="374"/>
      <c r="G14" s="374"/>
      <c r="H14" s="374" t="str">
        <f>PedBerIVenPM!C7</f>
        <v/>
      </c>
      <c r="J14" s="374"/>
      <c r="M14" s="379"/>
      <c r="N14" s="379"/>
    </row>
    <row r="15" spans="2:15" ht="17.25" customHeight="1" x14ac:dyDescent="0.2">
      <c r="B15" s="386"/>
      <c r="J15" s="374"/>
      <c r="M15" s="379"/>
      <c r="N15" s="379"/>
    </row>
    <row r="16" spans="2:15" ht="20.100000000000001" customHeight="1" x14ac:dyDescent="0.2">
      <c r="B16" s="388" t="str">
        <f>PedBerIVenPM!D9</f>
        <v/>
      </c>
      <c r="C16" s="675"/>
      <c r="D16" s="675" t="s">
        <v>225</v>
      </c>
      <c r="E16" s="833">
        <f>_Ped_Lijn_Opm</f>
        <v>0</v>
      </c>
      <c r="F16" s="834"/>
      <c r="G16" s="834"/>
      <c r="H16" s="834"/>
      <c r="I16" s="383"/>
      <c r="J16" s="384"/>
      <c r="M16" s="379"/>
      <c r="N16" s="379"/>
    </row>
    <row r="17" spans="2:15" ht="17.25" customHeight="1" x14ac:dyDescent="0.2">
      <c r="B17" s="389"/>
      <c r="J17" s="379"/>
      <c r="M17" s="379"/>
      <c r="N17" s="379"/>
    </row>
    <row r="18" spans="2:15" ht="20.100000000000001" customHeight="1" x14ac:dyDescent="0.2">
      <c r="B18" s="389"/>
      <c r="D18" s="367"/>
      <c r="E18" s="382"/>
      <c r="F18" s="382"/>
      <c r="G18" s="382"/>
      <c r="H18" s="382"/>
      <c r="I18" s="382"/>
      <c r="J18" s="381"/>
    </row>
    <row r="19" spans="2:15" ht="20.100000000000001" customHeight="1" x14ac:dyDescent="0.2">
      <c r="B19" s="693" t="str">
        <f>PedBerIVenPM!F13</f>
        <v/>
      </c>
      <c r="C19" s="687"/>
      <c r="D19" s="687" t="s">
        <v>20</v>
      </c>
      <c r="E19" s="694"/>
      <c r="F19" s="687"/>
      <c r="G19" s="687"/>
      <c r="H19" s="687"/>
      <c r="I19" s="687"/>
      <c r="J19" s="695"/>
      <c r="K19" s="687"/>
      <c r="L19" s="687"/>
      <c r="M19" s="687"/>
      <c r="N19" s="687"/>
      <c r="O19" s="687"/>
    </row>
    <row r="20" spans="2:15" ht="8.1" customHeight="1" x14ac:dyDescent="0.2">
      <c r="B20" s="388"/>
      <c r="C20" s="535"/>
    </row>
    <row r="21" spans="2:15" ht="20.100000000000001" customHeight="1" x14ac:dyDescent="0.2">
      <c r="B21" s="388"/>
      <c r="C21" s="535"/>
      <c r="D21" s="675" t="s">
        <v>205</v>
      </c>
      <c r="G21" s="675" t="s">
        <v>50</v>
      </c>
    </row>
    <row r="22" spans="2:15" ht="8.1" customHeight="1" x14ac:dyDescent="0.2">
      <c r="B22" s="388"/>
      <c r="C22" s="535"/>
    </row>
    <row r="23" spans="2:15" ht="20.100000000000001" customHeight="1" x14ac:dyDescent="0.2">
      <c r="B23" s="388" t="str">
        <f>PedBerIVenPM!F14</f>
        <v/>
      </c>
      <c r="C23" s="535"/>
      <c r="D23" s="675" t="s">
        <v>228</v>
      </c>
      <c r="E23" s="540" t="str">
        <f>IF(PedBerIVenPM!A12&gt;1,PedBerIVenPM!D12&amp;" /min","")</f>
        <v>30 /min</v>
      </c>
    </row>
    <row r="24" spans="2:15" ht="8.1" customHeight="1" x14ac:dyDescent="0.2">
      <c r="B24" s="535"/>
      <c r="C24" s="535"/>
      <c r="D24" s="386"/>
      <c r="E24" s="477"/>
    </row>
    <row r="25" spans="2:15" ht="20.100000000000001" customHeight="1" thickBot="1" x14ac:dyDescent="0.25">
      <c r="B25" s="535"/>
      <c r="C25" s="535"/>
      <c r="D25" s="675" t="s">
        <v>51</v>
      </c>
      <c r="E25" s="540" t="str">
        <f>IF(PedBerIVenPM!A12&gt;1,(PedBerIVenPM!D13/10)&amp;" V","")</f>
        <v>0,1 V</v>
      </c>
    </row>
    <row r="26" spans="2:15" ht="20.100000000000001" customHeight="1" thickTop="1" thickBot="1" x14ac:dyDescent="0.25">
      <c r="B26" s="535"/>
      <c r="C26" s="535"/>
      <c r="D26" s="675" t="s">
        <v>3337</v>
      </c>
      <c r="E26" s="478" t="str">
        <f>IF(PedBerIVenPM!A12&gt;1,(PedBerIVenPM!D14/10)&amp;" V","")</f>
        <v>0,1 V</v>
      </c>
    </row>
    <row r="27" spans="2:15" ht="8.1" customHeight="1" thickTop="1" x14ac:dyDescent="0.2">
      <c r="B27" s="535"/>
      <c r="C27" s="535"/>
      <c r="D27" s="386"/>
      <c r="E27" s="477"/>
    </row>
    <row r="28" spans="2:15" ht="20.100000000000001" customHeight="1" x14ac:dyDescent="0.2">
      <c r="B28" s="535"/>
      <c r="C28" s="535"/>
      <c r="D28" s="675" t="s">
        <v>52</v>
      </c>
      <c r="E28" s="540" t="str">
        <f>IF(PedBerIVenPM!A12&gt;1,PedBerIVenPM!D15&amp;" msec","")</f>
        <v>20 msec</v>
      </c>
    </row>
    <row r="29" spans="2:15" ht="8.1" customHeight="1" x14ac:dyDescent="0.2">
      <c r="B29" s="535"/>
      <c r="C29" s="535"/>
      <c r="D29" s="386"/>
      <c r="E29" s="477"/>
    </row>
    <row r="30" spans="2:15" ht="20.100000000000001" customHeight="1" thickBot="1" x14ac:dyDescent="0.25">
      <c r="B30" s="535"/>
      <c r="C30" s="535"/>
      <c r="D30" s="675" t="s">
        <v>53</v>
      </c>
      <c r="E30" s="540" t="str">
        <f>IF(PedBerIVenPM!A12&gt;1,PedBerIVenPM!D16/10&amp;" mV","")</f>
        <v>0,2 mV</v>
      </c>
    </row>
    <row r="31" spans="2:15" ht="20.100000000000001" customHeight="1" thickTop="1" thickBot="1" x14ac:dyDescent="0.25">
      <c r="B31" s="535"/>
      <c r="C31" s="535"/>
      <c r="D31" s="675" t="s">
        <v>3338</v>
      </c>
      <c r="E31" s="478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0" customWidth="1"/>
    <col min="2" max="3" width="6" style="380" customWidth="1"/>
    <col min="4" max="4" width="3.140625" style="380" customWidth="1"/>
    <col min="5" max="5" width="20.28515625" style="380" customWidth="1"/>
    <col min="6" max="7" width="13.7109375" style="380" customWidth="1"/>
    <col min="8" max="8" width="18.7109375" style="380" customWidth="1"/>
    <col min="9" max="9" width="17.85546875" style="380" customWidth="1"/>
    <col min="10" max="10" width="7.140625" style="380" customWidth="1"/>
    <col min="11" max="11" width="22" style="380" customWidth="1"/>
    <col min="12" max="13" width="13.7109375" style="380" customWidth="1"/>
    <col min="14" max="14" width="17.85546875" style="380" customWidth="1"/>
    <col min="15" max="15" width="18.7109375" style="380" customWidth="1"/>
    <col min="16" max="16" width="10.42578125" style="380" customWidth="1"/>
    <col min="17" max="18" width="9.140625" style="380"/>
    <col min="19" max="19" width="10.7109375" style="380" bestFit="1" customWidth="1"/>
    <col min="20" max="21" width="9.140625" style="380"/>
    <col min="22" max="22" width="10.7109375" style="380" bestFit="1" customWidth="1"/>
    <col min="23" max="16384" width="9.140625" style="380"/>
  </cols>
  <sheetData>
    <row r="1" spans="2:25" s="373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556"/>
      <c r="P1" s="556"/>
    </row>
    <row r="2" spans="2:25" s="373" customFormat="1" ht="17.25" customHeight="1" x14ac:dyDescent="0.2">
      <c r="B2" s="644"/>
      <c r="C2" s="644"/>
      <c r="D2" s="647"/>
      <c r="E2" s="644" t="s">
        <v>235</v>
      </c>
      <c r="F2" s="648" t="str">
        <f ca="1">Txt_Pat_AfspraakDat</f>
        <v>24-sep-2017</v>
      </c>
      <c r="G2" s="649"/>
      <c r="H2" s="647"/>
      <c r="I2" s="651" t="s">
        <v>3496</v>
      </c>
      <c r="J2" s="651"/>
      <c r="K2" s="647" t="str">
        <f>Txt_Pat_OpnameDat</f>
        <v/>
      </c>
      <c r="L2" s="644" t="str">
        <f>Txt_Pat_Gewicht</f>
        <v>Gewicht:</v>
      </c>
      <c r="M2" s="644"/>
      <c r="N2" s="647" t="str">
        <f>Txt_Pat_Bed</f>
        <v/>
      </c>
      <c r="O2" s="556"/>
      <c r="P2" s="556"/>
    </row>
    <row r="3" spans="2:25" s="373" customFormat="1" ht="17.25" customHeight="1" x14ac:dyDescent="0.2">
      <c r="B3" s="644"/>
      <c r="C3" s="644"/>
      <c r="D3" s="647"/>
      <c r="E3" s="644" t="s">
        <v>27</v>
      </c>
      <c r="F3" s="652" t="str">
        <f>Txt_Pat_FullName</f>
        <v/>
      </c>
      <c r="G3" s="652"/>
      <c r="H3" s="647"/>
      <c r="I3" s="651" t="s">
        <v>3497</v>
      </c>
      <c r="J3" s="651"/>
      <c r="K3" s="647" t="str">
        <f ca="1">Txt_Pat_GeboorteDat</f>
        <v/>
      </c>
      <c r="L3" s="644" t="str">
        <f>Txt_Pat_Lengte</f>
        <v>Lengte:</v>
      </c>
      <c r="M3" s="660"/>
      <c r="N3" s="661"/>
      <c r="O3" s="556"/>
      <c r="P3" s="557"/>
    </row>
    <row r="4" spans="2:25" s="373" customFormat="1" ht="17.25" customHeight="1" x14ac:dyDescent="0.2">
      <c r="B4" s="644"/>
      <c r="C4" s="644"/>
      <c r="D4" s="647"/>
      <c r="E4" s="662" t="s">
        <v>3493</v>
      </c>
      <c r="F4" s="647" t="str">
        <f>Txt_Pat_PatNo</f>
        <v/>
      </c>
      <c r="G4" s="649"/>
      <c r="H4" s="647"/>
      <c r="I4" s="655" t="s">
        <v>213</v>
      </c>
      <c r="J4" s="655"/>
      <c r="K4" s="647" t="str">
        <f ca="1">Txt_Pat_Leeftijd</f>
        <v/>
      </c>
      <c r="L4" s="644" t="str">
        <f>Txt_Pat_Oppervlak</f>
        <v>Lichamelijk oppervlak:</v>
      </c>
      <c r="M4" s="660"/>
      <c r="N4" s="661"/>
      <c r="O4" s="556"/>
      <c r="P4" s="556"/>
    </row>
    <row r="5" spans="2:25" s="373" customFormat="1" ht="8.1" customHeight="1" x14ac:dyDescent="0.2">
      <c r="B5" s="644"/>
      <c r="C5" s="644"/>
      <c r="D5" s="647"/>
      <c r="E5" s="644"/>
      <c r="F5" s="644"/>
      <c r="G5" s="649"/>
      <c r="H5" s="647"/>
      <c r="I5" s="655"/>
      <c r="J5" s="655"/>
      <c r="K5" s="647"/>
      <c r="L5" s="644"/>
      <c r="M5" s="661"/>
      <c r="N5" s="661"/>
      <c r="O5" s="556"/>
      <c r="P5" s="556"/>
    </row>
    <row r="6" spans="2:25" s="373" customFormat="1" ht="8.1" customHeight="1" x14ac:dyDescent="0.2">
      <c r="D6" s="371"/>
      <c r="F6" s="371"/>
      <c r="G6" s="372"/>
      <c r="H6" s="371"/>
      <c r="I6" s="378"/>
      <c r="J6" s="378"/>
      <c r="K6" s="371"/>
    </row>
    <row r="7" spans="2:25" s="373" customFormat="1" ht="20.100000000000001" customHeight="1" x14ac:dyDescent="0.2">
      <c r="B7" s="687" t="s">
        <v>3327</v>
      </c>
      <c r="C7" s="687"/>
      <c r="D7" s="696" t="s">
        <v>3494</v>
      </c>
      <c r="E7" s="687"/>
      <c r="F7" s="696"/>
      <c r="G7" s="697"/>
      <c r="H7" s="696"/>
      <c r="I7" s="698"/>
      <c r="J7" s="698" t="s">
        <v>3327</v>
      </c>
      <c r="K7" s="696"/>
      <c r="L7" s="687"/>
      <c r="M7" s="687"/>
      <c r="N7" s="687"/>
      <c r="O7" s="556"/>
    </row>
    <row r="8" spans="2:25" ht="8.1" customHeight="1" x14ac:dyDescent="0.2">
      <c r="C8" s="388"/>
      <c r="E8" s="387"/>
      <c r="F8" s="358"/>
      <c r="G8" s="359"/>
      <c r="H8" s="781"/>
      <c r="I8" s="360"/>
      <c r="J8" s="360"/>
      <c r="K8" s="781"/>
      <c r="L8" s="781"/>
      <c r="M8" s="781"/>
      <c r="N8" s="781"/>
    </row>
    <row r="9" spans="2:25" ht="20.100000000000001" customHeight="1" x14ac:dyDescent="0.2">
      <c r="B9" s="559" t="str">
        <f>PedBerEnt!G3</f>
        <v/>
      </c>
      <c r="C9" s="559"/>
      <c r="D9" s="675"/>
      <c r="E9" s="675" t="s">
        <v>116</v>
      </c>
      <c r="H9" s="675"/>
      <c r="I9" s="386"/>
      <c r="J9" s="386"/>
      <c r="K9" s="675" t="s">
        <v>3495</v>
      </c>
      <c r="L9" s="675"/>
      <c r="M9" s="675"/>
      <c r="Q9" s="389"/>
    </row>
    <row r="10" spans="2:25" ht="20.100000000000001" customHeight="1" thickBot="1" x14ac:dyDescent="0.25">
      <c r="B10" s="559"/>
      <c r="C10" s="559"/>
      <c r="E10" s="386"/>
      <c r="I10" s="386"/>
      <c r="J10" s="386"/>
      <c r="K10" s="680" t="str">
        <f>PedBerEnt!A11</f>
        <v>energy</v>
      </c>
      <c r="L10" s="507">
        <f>PedBerEnt!B11</f>
        <v>0</v>
      </c>
      <c r="M10" s="386" t="s">
        <v>4081</v>
      </c>
      <c r="O10" s="390"/>
      <c r="Q10" s="389"/>
    </row>
    <row r="11" spans="2:25" ht="20.100000000000001" customHeight="1" thickTop="1" thickBot="1" x14ac:dyDescent="0.25">
      <c r="B11" s="559"/>
      <c r="C11" s="559"/>
      <c r="D11" s="675"/>
      <c r="E11" s="679" t="s">
        <v>217</v>
      </c>
      <c r="F11" s="675"/>
      <c r="G11" s="675"/>
      <c r="H11" s="675"/>
      <c r="I11" s="387"/>
      <c r="J11" s="386"/>
      <c r="K11" s="680" t="str">
        <f>PedBerEnt!A12</f>
        <v>eiwit</v>
      </c>
      <c r="L11" s="488">
        <f>PedBerEnt!B12</f>
        <v>0</v>
      </c>
      <c r="M11" s="391" t="s">
        <v>29</v>
      </c>
    </row>
    <row r="12" spans="2:25" ht="20.100000000000001" customHeight="1" thickTop="1" thickBot="1" x14ac:dyDescent="0.25">
      <c r="B12" s="559" t="str">
        <f>PedBerEnt!G4</f>
        <v/>
      </c>
      <c r="C12" s="559"/>
      <c r="D12" s="675"/>
      <c r="E12" s="780" t="str">
        <f>PedBerEnt!H4</f>
        <v/>
      </c>
      <c r="F12" s="780" t="str">
        <f>IF(PedBerEnt!E4&lt;&gt;0,PedBerEnt!D4&amp;" ml","")</f>
        <v/>
      </c>
      <c r="I12" s="392" t="str">
        <f>PedBerEnt!J4</f>
        <v/>
      </c>
      <c r="J12" s="392"/>
      <c r="K12" s="680" t="str">
        <f>PedBerEnt!A13</f>
        <v>KH</v>
      </c>
      <c r="L12" s="488">
        <f>PedBerEnt!B13</f>
        <v>0</v>
      </c>
      <c r="M12" s="391" t="s">
        <v>29</v>
      </c>
      <c r="S12" s="393"/>
      <c r="T12" s="393"/>
      <c r="U12" s="393"/>
      <c r="V12" s="393"/>
      <c r="W12" s="393"/>
      <c r="X12" s="393"/>
      <c r="Y12" s="393"/>
    </row>
    <row r="13" spans="2:25" ht="20.100000000000001" customHeight="1" thickTop="1" thickBot="1" x14ac:dyDescent="0.25">
      <c r="B13" s="559"/>
      <c r="C13" s="559"/>
      <c r="D13" s="675"/>
      <c r="E13" s="675" t="s">
        <v>804</v>
      </c>
      <c r="F13" s="678"/>
      <c r="G13" s="675"/>
      <c r="H13" s="675"/>
      <c r="I13" s="392"/>
      <c r="J13" s="392"/>
      <c r="K13" s="681" t="str">
        <f>PedBerEnt!A14</f>
        <v>vet</v>
      </c>
      <c r="L13" s="488">
        <f>PedBerEnt!B14</f>
        <v>0</v>
      </c>
      <c r="M13" s="391" t="s">
        <v>29</v>
      </c>
      <c r="S13" s="393"/>
      <c r="T13" s="393"/>
      <c r="U13" s="393"/>
      <c r="V13" s="393"/>
      <c r="W13" s="393"/>
      <c r="X13" s="393"/>
      <c r="Y13" s="393"/>
    </row>
    <row r="14" spans="2:25" ht="20.100000000000001" customHeight="1" thickTop="1" thickBot="1" x14ac:dyDescent="0.25">
      <c r="B14" s="559" t="str">
        <f>PedBerEnt!$G5</f>
        <v/>
      </c>
      <c r="C14" s="559"/>
      <c r="D14" s="675"/>
      <c r="E14" s="780" t="str">
        <f>PedBerEnt!H5</f>
        <v/>
      </c>
      <c r="F14" s="780" t="str">
        <f>IF(PedBerEnt!F5&gt;1,PedBerEnt!D5&amp;" gram","")</f>
        <v/>
      </c>
      <c r="I14" s="392" t="str">
        <f>PedBerEnt!J5</f>
        <v/>
      </c>
      <c r="J14" s="392"/>
      <c r="K14" s="681" t="str">
        <f>PedBerEnt!A15</f>
        <v>Na</v>
      </c>
      <c r="L14" s="488">
        <f>PedBerEnt!B15</f>
        <v>0</v>
      </c>
      <c r="M14" s="391" t="s">
        <v>121</v>
      </c>
      <c r="S14" s="393"/>
      <c r="T14" s="393"/>
      <c r="U14" s="393"/>
      <c r="V14" s="393"/>
      <c r="W14" s="393"/>
      <c r="X14" s="393"/>
      <c r="Y14" s="393"/>
    </row>
    <row r="15" spans="2:25" ht="20.100000000000001" customHeight="1" thickTop="1" thickBot="1" x14ac:dyDescent="0.25">
      <c r="B15" s="559" t="str">
        <f>PedBerEnt!$G6</f>
        <v/>
      </c>
      <c r="C15" s="559"/>
      <c r="D15" s="675"/>
      <c r="E15" s="485" t="str">
        <f>PedBerEnt!H6</f>
        <v/>
      </c>
      <c r="F15" s="485" t="str">
        <f>IF(PedBerEnt!F6&gt;1,PedBerEnt!D6&amp;" gram","")</f>
        <v/>
      </c>
      <c r="I15" s="392" t="str">
        <f>PedBerEnt!J6</f>
        <v/>
      </c>
      <c r="J15" s="392"/>
      <c r="K15" s="681" t="str">
        <f>PedBerEnt!A16</f>
        <v>K</v>
      </c>
      <c r="L15" s="488">
        <f>PedBerEnt!B16</f>
        <v>0</v>
      </c>
      <c r="M15" s="391" t="s">
        <v>121</v>
      </c>
      <c r="S15" s="393"/>
      <c r="T15" s="393"/>
      <c r="U15" s="393"/>
      <c r="V15" s="393"/>
      <c r="W15" s="393"/>
      <c r="X15" s="393"/>
      <c r="Y15" s="393"/>
    </row>
    <row r="16" spans="2:25" ht="20.100000000000001" customHeight="1" thickTop="1" thickBot="1" x14ac:dyDescent="0.25">
      <c r="B16" s="559" t="str">
        <f>PedBerEnt!$G7</f>
        <v/>
      </c>
      <c r="C16" s="559"/>
      <c r="D16" s="675"/>
      <c r="E16" s="481" t="str">
        <f>PedBerEnt!H7</f>
        <v/>
      </c>
      <c r="F16" s="481" t="str">
        <f>IF(PedBerEnt!F7&gt;1,PedBerEnt!D7&amp;" gram","")</f>
        <v/>
      </c>
      <c r="I16" s="392" t="str">
        <f>PedBerEnt!J7</f>
        <v/>
      </c>
      <c r="J16" s="392"/>
      <c r="K16" s="681" t="str">
        <f>PedBerEnt!A17</f>
        <v>Ca</v>
      </c>
      <c r="L16" s="488">
        <f>PedBerEnt!B17</f>
        <v>0</v>
      </c>
      <c r="M16" s="391" t="s">
        <v>121</v>
      </c>
      <c r="S16" s="393"/>
      <c r="T16" s="393"/>
      <c r="U16" s="393"/>
      <c r="V16" s="393"/>
      <c r="W16" s="393"/>
      <c r="X16" s="393"/>
      <c r="Y16" s="393"/>
    </row>
    <row r="17" spans="2:25" ht="20.100000000000001" customHeight="1" thickTop="1" thickBot="1" x14ac:dyDescent="0.25">
      <c r="B17" s="559"/>
      <c r="C17" s="559"/>
      <c r="E17" s="367"/>
      <c r="F17" s="781"/>
      <c r="K17" s="680" t="str">
        <f>PedBerEnt!A18</f>
        <v>P</v>
      </c>
      <c r="L17" s="488">
        <f>PedBerEnt!B18</f>
        <v>0</v>
      </c>
      <c r="M17" s="391" t="s">
        <v>121</v>
      </c>
      <c r="O17" s="393"/>
      <c r="S17" s="393"/>
      <c r="T17" s="393"/>
      <c r="U17" s="393"/>
      <c r="V17" s="393"/>
      <c r="W17" s="393"/>
      <c r="X17" s="393"/>
      <c r="Y17" s="393"/>
    </row>
    <row r="18" spans="2:25" ht="20.100000000000001" customHeight="1" thickTop="1" thickBot="1" x14ac:dyDescent="0.25">
      <c r="B18" s="559" t="str">
        <f>PedBerEnt!$G9</f>
        <v/>
      </c>
      <c r="C18" s="559" t="str">
        <f>PedBerEnt!$G9</f>
        <v/>
      </c>
      <c r="D18" s="675"/>
      <c r="E18" s="680" t="s">
        <v>225</v>
      </c>
      <c r="F18" s="835">
        <f>_Ped_Ent_Opm</f>
        <v>0</v>
      </c>
      <c r="G18" s="836"/>
      <c r="H18" s="836"/>
      <c r="I18" s="836"/>
      <c r="J18" s="781"/>
      <c r="K18" s="681" t="str">
        <f>PedBerEnt!A19</f>
        <v>Mg</v>
      </c>
      <c r="L18" s="479">
        <f>PedBerEnt!B19</f>
        <v>0</v>
      </c>
      <c r="M18" s="391" t="s">
        <v>121</v>
      </c>
      <c r="O18" s="393"/>
      <c r="S18" s="393"/>
      <c r="T18" s="393"/>
      <c r="U18" s="393"/>
      <c r="V18" s="393"/>
      <c r="W18" s="393"/>
      <c r="X18" s="393"/>
      <c r="Y18" s="393"/>
    </row>
    <row r="19" spans="2:25" ht="8.1" customHeight="1" thickTop="1" x14ac:dyDescent="0.2">
      <c r="E19" s="394"/>
      <c r="F19" s="781"/>
      <c r="K19" s="386"/>
      <c r="L19" s="395"/>
      <c r="N19" s="393"/>
      <c r="O19" s="393"/>
      <c r="S19" s="393"/>
      <c r="T19" s="393"/>
      <c r="U19" s="393"/>
      <c r="V19" s="393"/>
      <c r="W19" s="393"/>
      <c r="X19" s="393"/>
      <c r="Y19" s="393"/>
    </row>
    <row r="20" spans="2:25" ht="20.100000000000001" customHeight="1" x14ac:dyDescent="0.2">
      <c r="B20" s="687" t="s">
        <v>3327</v>
      </c>
      <c r="C20" s="687"/>
      <c r="D20" s="687" t="s">
        <v>428</v>
      </c>
      <c r="E20" s="687"/>
      <c r="F20" s="687"/>
      <c r="G20" s="687"/>
      <c r="H20" s="687"/>
      <c r="I20" s="687"/>
      <c r="J20" s="687" t="s">
        <v>3327</v>
      </c>
      <c r="K20" s="694"/>
      <c r="L20" s="687"/>
      <c r="M20" s="699"/>
      <c r="N20" s="699"/>
      <c r="O20" s="562"/>
      <c r="S20" s="393"/>
      <c r="T20" s="393"/>
      <c r="U20" s="393"/>
      <c r="V20" s="393"/>
      <c r="W20" s="393"/>
      <c r="X20" s="393"/>
      <c r="Y20" s="393"/>
    </row>
    <row r="21" spans="2:25" ht="8.1" customHeight="1" x14ac:dyDescent="0.2">
      <c r="C21" s="374"/>
      <c r="D21" s="374"/>
      <c r="E21" s="373"/>
      <c r="F21" s="374"/>
      <c r="G21" s="374"/>
      <c r="H21" s="374"/>
      <c r="I21" s="374"/>
      <c r="J21" s="374"/>
      <c r="K21" s="396"/>
      <c r="L21" s="374"/>
      <c r="M21" s="397"/>
      <c r="N21" s="397"/>
      <c r="O21" s="393"/>
      <c r="S21" s="393"/>
      <c r="T21" s="393"/>
      <c r="U21" s="393"/>
      <c r="V21" s="393"/>
      <c r="W21" s="393"/>
      <c r="X21" s="393"/>
      <c r="Y21" s="393"/>
    </row>
    <row r="22" spans="2:25" ht="20.100000000000001" customHeight="1" x14ac:dyDescent="0.2">
      <c r="B22" s="559" t="str">
        <f>PedBerTPN!Y3</f>
        <v/>
      </c>
      <c r="C22" s="559"/>
      <c r="D22" s="675"/>
      <c r="E22" s="680" t="s">
        <v>3501</v>
      </c>
      <c r="F22" s="507" t="str">
        <f>PedBerTPN!V3</f>
        <v/>
      </c>
      <c r="G22" s="387"/>
      <c r="H22" s="386"/>
      <c r="I22" s="387" t="str">
        <f>IF(F22&lt;&gt;""," "&amp;PedBerTPN!G3&amp;" ml/dag","")</f>
        <v/>
      </c>
      <c r="J22" s="559" t="str">
        <f>PedBerTPN!Y21</f>
        <v/>
      </c>
      <c r="K22" s="680" t="s">
        <v>3512</v>
      </c>
      <c r="L22" s="507" t="str">
        <f>PedBerTPN!V21</f>
        <v/>
      </c>
      <c r="M22" s="386"/>
      <c r="N22" s="387" t="str">
        <f>IF(L22&lt;&gt;"",PedBerTPN!G21&amp;" mL/dag","")</f>
        <v/>
      </c>
      <c r="S22" s="393"/>
      <c r="W22" s="393"/>
      <c r="X22" s="393"/>
      <c r="Y22" s="393"/>
    </row>
    <row r="23" spans="2:25" ht="20.100000000000001" customHeight="1" thickBot="1" x14ac:dyDescent="0.25">
      <c r="B23" s="559" t="str">
        <f>PedBerTPN!Y5</f>
        <v/>
      </c>
      <c r="C23" s="559" t="str">
        <f>PedBerTPN!Z5</f>
        <v/>
      </c>
      <c r="D23" s="675"/>
      <c r="E23" s="675"/>
      <c r="F23" s="386" t="str">
        <f>PedBerTPN!V5</f>
        <v/>
      </c>
      <c r="G23" s="507" t="str">
        <f>PedBerTPN!W5</f>
        <v/>
      </c>
      <c r="H23" s="387"/>
      <c r="I23" s="387" t="str">
        <f>IF(F23="",""," "&amp;PedBerTPN!W5&amp;"/dag")</f>
        <v/>
      </c>
      <c r="J23" s="559"/>
      <c r="K23" s="675"/>
      <c r="M23" s="391"/>
      <c r="N23" s="391"/>
      <c r="S23" s="393"/>
      <c r="W23" s="393"/>
      <c r="X23" s="393"/>
      <c r="Y23" s="393"/>
    </row>
    <row r="24" spans="2:25" ht="20.100000000000001" customHeight="1" thickTop="1" thickBot="1" x14ac:dyDescent="0.25">
      <c r="B24" s="559" t="str">
        <f>PedBerTPN!Y6</f>
        <v/>
      </c>
      <c r="C24" s="559"/>
      <c r="D24" s="675"/>
      <c r="E24" s="680" t="s">
        <v>3502</v>
      </c>
      <c r="F24" s="386" t="str">
        <f>PedBerTPN!V6</f>
        <v/>
      </c>
      <c r="G24" s="479" t="str">
        <f>PedBerTPN!W6</f>
        <v/>
      </c>
      <c r="H24" s="387" t="str">
        <f>IF(PedBerTPN!W7="",""," + "&amp;PedBerTPN!W7&amp;" gluc 10%")</f>
        <v/>
      </c>
      <c r="I24" s="387" t="str">
        <f>IF(F24="",""," " &amp;SUM(PedBerTPN!G6:G7)&amp;" ml/dag")</f>
        <v/>
      </c>
      <c r="J24" s="559"/>
      <c r="K24" s="675"/>
      <c r="L24" s="398" t="str">
        <f>PedBerTPN!W22</f>
        <v/>
      </c>
      <c r="M24" s="391"/>
      <c r="N24" s="391"/>
      <c r="S24" s="393"/>
      <c r="W24" s="393"/>
      <c r="X24" s="393"/>
      <c r="Y24" s="393"/>
    </row>
    <row r="25" spans="2:25" ht="20.100000000000001" customHeight="1" thickTop="1" x14ac:dyDescent="0.2">
      <c r="B25" s="559"/>
      <c r="C25" s="559"/>
      <c r="D25" s="675"/>
      <c r="E25" s="675"/>
      <c r="G25" s="386" t="str">
        <f>PedBerTPN!W8</f>
        <v/>
      </c>
      <c r="H25" s="560"/>
      <c r="I25" s="561"/>
      <c r="J25" s="558"/>
      <c r="K25" s="675"/>
      <c r="M25" s="386"/>
      <c r="N25" s="386"/>
      <c r="S25" s="393"/>
      <c r="W25" s="393"/>
      <c r="X25" s="393"/>
      <c r="Y25" s="393"/>
    </row>
    <row r="26" spans="2:25" ht="20.100000000000001" customHeight="1" thickBot="1" x14ac:dyDescent="0.25">
      <c r="B26" s="559" t="str">
        <f>PedBerTPN!Y9</f>
        <v/>
      </c>
      <c r="C26" s="559"/>
      <c r="D26" s="675"/>
      <c r="E26" s="680" t="s">
        <v>3503</v>
      </c>
      <c r="F26" s="386"/>
      <c r="G26" s="507" t="str">
        <f>PedBerTPN!W9</f>
        <v/>
      </c>
      <c r="H26" s="392"/>
      <c r="I26" s="387"/>
      <c r="J26" s="559" t="str">
        <f>PedBerTPN!Y23</f>
        <v/>
      </c>
      <c r="K26" s="680" t="s">
        <v>3503</v>
      </c>
      <c r="L26" s="507" t="str">
        <f>PedBerTPN!W23</f>
        <v/>
      </c>
      <c r="M26" s="386"/>
      <c r="N26" s="386"/>
      <c r="S26" s="393"/>
      <c r="W26" s="393"/>
      <c r="X26" s="393"/>
      <c r="Y26" s="393"/>
    </row>
    <row r="27" spans="2:25" ht="20.100000000000001" customHeight="1" thickTop="1" thickBot="1" x14ac:dyDescent="0.25">
      <c r="B27" s="559" t="str">
        <f>PedBerTPN!Y10</f>
        <v/>
      </c>
      <c r="C27" s="559"/>
      <c r="D27" s="675"/>
      <c r="E27" s="680" t="s">
        <v>3504</v>
      </c>
      <c r="F27" s="386"/>
      <c r="G27" s="479" t="str">
        <f>PedBerTPN!W10</f>
        <v/>
      </c>
      <c r="H27" s="392"/>
      <c r="I27" s="387"/>
      <c r="J27" s="559" t="str">
        <f>PedBerTPN!Y24</f>
        <v/>
      </c>
      <c r="K27" s="680" t="s">
        <v>3504</v>
      </c>
      <c r="L27" s="479" t="str">
        <f>PedBerTPN!W24</f>
        <v/>
      </c>
      <c r="M27" s="386"/>
      <c r="N27" s="386"/>
      <c r="S27" s="393"/>
      <c r="W27" s="393"/>
      <c r="X27" s="393"/>
      <c r="Y27" s="393"/>
    </row>
    <row r="28" spans="2:25" ht="9.9499999999999993" customHeight="1" thickTop="1" x14ac:dyDescent="0.2">
      <c r="B28" s="559"/>
      <c r="C28" s="559"/>
      <c r="D28" s="675"/>
      <c r="E28" s="680"/>
      <c r="F28" s="386"/>
      <c r="G28" s="389"/>
      <c r="H28" s="392"/>
      <c r="I28" s="387"/>
      <c r="J28" s="386"/>
      <c r="K28" s="367"/>
      <c r="M28" s="389"/>
      <c r="N28" s="389"/>
      <c r="S28" s="393"/>
      <c r="W28" s="393"/>
      <c r="X28" s="393"/>
      <c r="Y28" s="393"/>
    </row>
    <row r="29" spans="2:25" ht="20.100000000000001" customHeight="1" thickBot="1" x14ac:dyDescent="0.25">
      <c r="B29" s="559" t="str">
        <f>PedBerTPN!Y12</f>
        <v/>
      </c>
      <c r="C29" s="559"/>
      <c r="D29" s="675"/>
      <c r="E29" s="680" t="s">
        <v>3505</v>
      </c>
      <c r="F29" s="386" t="str">
        <f>PedBerTPN!V11</f>
        <v/>
      </c>
      <c r="G29" s="507" t="str">
        <f>PedBerTPN!W12</f>
        <v/>
      </c>
      <c r="H29" s="387" t="str">
        <f>IF(PedBerTPN!W11="",""," + "&amp;PedBerTPN!W11&amp;" gluc 10%")</f>
        <v/>
      </c>
      <c r="I29" s="387" t="str">
        <f>IF(F29="",""," "&amp;SUM(PedBerTPN!G12:G13)+PedBerTPN!G11&amp;" ml/dag")</f>
        <v/>
      </c>
      <c r="J29" s="386"/>
      <c r="K29" s="367"/>
      <c r="M29" s="393"/>
      <c r="N29" s="393"/>
      <c r="O29" s="393"/>
      <c r="Q29" s="393"/>
      <c r="R29" s="393"/>
      <c r="S29" s="393"/>
      <c r="W29" s="393"/>
      <c r="X29" s="393"/>
      <c r="Y29" s="393"/>
    </row>
    <row r="30" spans="2:25" ht="20.100000000000001" customHeight="1" thickTop="1" thickBot="1" x14ac:dyDescent="0.25">
      <c r="B30" s="559" t="str">
        <f>PedBerTPN!Y13</f>
        <v/>
      </c>
      <c r="C30" s="559"/>
      <c r="D30" s="675"/>
      <c r="E30" s="680" t="s">
        <v>3506</v>
      </c>
      <c r="F30" s="386"/>
      <c r="G30" s="479" t="str">
        <f>PedBerTPN!W13</f>
        <v/>
      </c>
      <c r="H30" s="392"/>
      <c r="I30" s="387"/>
      <c r="J30" s="398"/>
      <c r="M30" s="393"/>
      <c r="N30" s="393"/>
      <c r="O30" s="393"/>
      <c r="P30" s="393"/>
      <c r="Q30" s="393"/>
      <c r="R30" s="393"/>
      <c r="S30" s="393"/>
      <c r="W30" s="393"/>
      <c r="X30" s="393"/>
      <c r="Y30" s="393"/>
    </row>
    <row r="31" spans="2:25" ht="9.9499999999999993" customHeight="1" thickTop="1" x14ac:dyDescent="0.2">
      <c r="B31" s="559"/>
      <c r="C31" s="559"/>
      <c r="E31" s="385"/>
      <c r="F31" s="386"/>
      <c r="G31" s="389"/>
      <c r="H31" s="392"/>
      <c r="I31" s="387"/>
      <c r="J31" s="386"/>
      <c r="M31" s="393"/>
      <c r="N31" s="393"/>
      <c r="O31" s="393"/>
      <c r="P31" s="393"/>
      <c r="Q31" s="393"/>
      <c r="R31" s="393"/>
      <c r="S31" s="393"/>
      <c r="W31" s="393"/>
      <c r="X31" s="393"/>
      <c r="Y31" s="393"/>
    </row>
    <row r="32" spans="2:25" ht="20.100000000000001" customHeight="1" x14ac:dyDescent="0.2">
      <c r="B32" s="559" t="str">
        <f>PedBerTPN!Y15</f>
        <v/>
      </c>
      <c r="C32" s="559"/>
      <c r="D32" s="675"/>
      <c r="E32" s="680" t="s">
        <v>4784</v>
      </c>
      <c r="F32" s="386" t="str">
        <f>PedBerTPN!V14</f>
        <v/>
      </c>
      <c r="G32" s="507" t="str">
        <f>PedBerTPN!W15</f>
        <v/>
      </c>
      <c r="H32" s="387" t="str">
        <f>IF(PedBerTPN!W14="",""," + "&amp;PedBerTPN!W14&amp;" gluc 5%")</f>
        <v/>
      </c>
      <c r="I32" s="387" t="str">
        <f>IF(PedBerTPN!W15="",""," "&amp;SUM(PedBerTPN!G14:G15)&amp;" ml/dag")</f>
        <v/>
      </c>
      <c r="J32" s="386"/>
      <c r="M32" s="393"/>
      <c r="N32" s="393"/>
      <c r="O32" s="393"/>
      <c r="P32" s="393"/>
      <c r="Q32" s="393"/>
      <c r="R32" s="393"/>
      <c r="S32" s="393"/>
      <c r="W32" s="393"/>
      <c r="X32" s="393"/>
      <c r="Y32" s="393"/>
    </row>
    <row r="33" spans="2:25" ht="8.1" customHeight="1" x14ac:dyDescent="0.2">
      <c r="B33" s="559"/>
      <c r="C33" s="559"/>
      <c r="D33" s="374"/>
      <c r="E33" s="385"/>
      <c r="G33" s="389"/>
      <c r="H33" s="386"/>
      <c r="I33" s="387"/>
      <c r="J33" s="386"/>
      <c r="M33" s="393"/>
      <c r="N33" s="393"/>
      <c r="O33" s="393"/>
      <c r="P33" s="393"/>
      <c r="Q33" s="393"/>
      <c r="R33" s="393"/>
      <c r="S33" s="393"/>
      <c r="W33" s="393"/>
      <c r="X33" s="393"/>
      <c r="Y33" s="393"/>
    </row>
    <row r="34" spans="2:25" ht="20.100000000000001" customHeight="1" x14ac:dyDescent="0.2">
      <c r="B34" s="559" t="str">
        <f>PedBerTPN!Y16</f>
        <v/>
      </c>
      <c r="C34" s="559"/>
      <c r="D34" s="675"/>
      <c r="E34" s="680" t="s">
        <v>3507</v>
      </c>
      <c r="F34" s="507" t="str">
        <f>PedBerTPN!V16</f>
        <v/>
      </c>
      <c r="G34" s="386"/>
      <c r="H34" s="386"/>
      <c r="I34" s="387" t="str">
        <f>IF(PedBerTPN!G16&lt;&gt;0," "&amp;PedBerTPN!G16&amp;" ml/dag","")</f>
        <v/>
      </c>
      <c r="J34" s="386"/>
      <c r="M34" s="393"/>
      <c r="N34" s="393"/>
      <c r="O34" s="393"/>
      <c r="P34" s="393"/>
      <c r="Q34" s="393"/>
      <c r="R34" s="393"/>
      <c r="S34" s="393"/>
      <c r="W34" s="393"/>
      <c r="X34" s="393"/>
      <c r="Y34" s="393"/>
    </row>
    <row r="35" spans="2:25" ht="20.100000000000001" customHeight="1" x14ac:dyDescent="0.2">
      <c r="B35" s="559"/>
      <c r="C35" s="559"/>
      <c r="D35" s="675"/>
      <c r="E35" s="680" t="s">
        <v>3508</v>
      </c>
      <c r="F35" s="386"/>
      <c r="G35" s="386" t="str">
        <f>PedBerTPN!W17</f>
        <v/>
      </c>
      <c r="H35" s="386"/>
      <c r="I35" s="387"/>
      <c r="J35" s="386"/>
      <c r="M35" s="393"/>
      <c r="N35" s="393"/>
      <c r="O35" s="393"/>
      <c r="P35" s="393"/>
      <c r="Q35" s="393"/>
      <c r="R35" s="393"/>
      <c r="S35" s="393"/>
      <c r="W35" s="393"/>
      <c r="X35" s="393"/>
      <c r="Y35" s="393"/>
    </row>
    <row r="36" spans="2:25" ht="20.100000000000001" customHeight="1" thickBot="1" x14ac:dyDescent="0.25">
      <c r="B36" s="559" t="str">
        <f>PedBerTPN!Y18</f>
        <v/>
      </c>
      <c r="C36" s="559"/>
      <c r="D36" s="675"/>
      <c r="E36" s="680" t="s">
        <v>3509</v>
      </c>
      <c r="F36" s="386"/>
      <c r="G36" s="507" t="str">
        <f>PedBerTPN!W18</f>
        <v/>
      </c>
      <c r="H36" s="386"/>
      <c r="I36" s="387"/>
      <c r="J36" s="386"/>
      <c r="M36" s="393"/>
      <c r="N36" s="393"/>
      <c r="O36" s="393"/>
      <c r="P36" s="393"/>
      <c r="Q36" s="393"/>
      <c r="R36" s="393"/>
      <c r="S36" s="393"/>
      <c r="T36" s="393"/>
      <c r="U36" s="393"/>
      <c r="V36" s="393"/>
      <c r="W36" s="393"/>
      <c r="X36" s="393"/>
      <c r="Y36" s="393"/>
    </row>
    <row r="37" spans="2:25" ht="20.100000000000001" customHeight="1" thickTop="1" thickBot="1" x14ac:dyDescent="0.25">
      <c r="B37" s="559" t="str">
        <f>PedBerTPN!Y19</f>
        <v/>
      </c>
      <c r="C37" s="559"/>
      <c r="D37" s="675"/>
      <c r="E37" s="680" t="s">
        <v>3510</v>
      </c>
      <c r="F37" s="386"/>
      <c r="G37" s="479" t="str">
        <f>PedBerTPN!W19</f>
        <v/>
      </c>
      <c r="H37" s="386"/>
      <c r="I37" s="387"/>
      <c r="J37" s="386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  <c r="X37" s="393"/>
      <c r="Y37" s="393"/>
    </row>
    <row r="38" spans="2:25" ht="9.9499999999999993" customHeight="1" thickTop="1" x14ac:dyDescent="0.2">
      <c r="B38" s="559"/>
      <c r="C38" s="559"/>
      <c r="G38" s="389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</row>
    <row r="39" spans="2:25" ht="20.100000000000001" customHeight="1" x14ac:dyDescent="0.2">
      <c r="B39" s="559" t="str">
        <f>IF(OR(F39=0,F39=""),"","verw")</f>
        <v/>
      </c>
      <c r="C39" s="559"/>
      <c r="D39" s="675"/>
      <c r="E39" s="680" t="s">
        <v>3511</v>
      </c>
      <c r="F39" s="835">
        <f>_Ped_TPN_Opm</f>
        <v>0</v>
      </c>
      <c r="G39" s="836"/>
      <c r="H39" s="836"/>
      <c r="I39" s="836"/>
      <c r="J39" s="781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  <c r="X39" s="393"/>
      <c r="Y39" s="393"/>
    </row>
    <row r="40" spans="2:25" ht="10.5" customHeight="1" x14ac:dyDescent="0.2">
      <c r="E40" s="389"/>
      <c r="G40" s="389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</row>
    <row r="41" spans="2:25" s="522" customFormat="1" x14ac:dyDescent="0.2">
      <c r="B41" s="707"/>
      <c r="C41" s="707"/>
      <c r="D41" s="707"/>
      <c r="E41" s="711" t="s">
        <v>4811</v>
      </c>
      <c r="F41" s="711" t="s">
        <v>86</v>
      </c>
      <c r="G41" s="711" t="s">
        <v>433</v>
      </c>
      <c r="H41" s="711"/>
      <c r="I41" s="741" t="s">
        <v>89</v>
      </c>
      <c r="J41" s="711"/>
      <c r="K41" s="711" t="s">
        <v>4811</v>
      </c>
      <c r="L41" s="711" t="s">
        <v>86</v>
      </c>
      <c r="M41" s="712" t="s">
        <v>433</v>
      </c>
      <c r="N41" s="742" t="s">
        <v>89</v>
      </c>
      <c r="O41" s="562"/>
    </row>
    <row r="42" spans="2:25" x14ac:dyDescent="0.2">
      <c r="B42" s="707"/>
      <c r="C42" s="707"/>
      <c r="D42" s="713"/>
      <c r="E42" s="714" t="s">
        <v>267</v>
      </c>
      <c r="F42" s="714" t="str">
        <f t="shared" ref="F42:F48" si="0">VLOOKUP($E42,Tbl_Ped_Totalen, 13,FALSE)</f>
        <v>0 ml/kg</v>
      </c>
      <c r="G42" s="714" t="str">
        <f t="shared" ref="G42:G48" ca="1" si="1">VLOOKUP($E42,Tbl_Ped_Totalen, 10,FALSE)</f>
        <v>150 ml/kg</v>
      </c>
      <c r="H42" s="714" t="str">
        <f>"= "&amp;PedBerTot!H4&amp;" ml/dag"</f>
        <v>= 0 ml/dag</v>
      </c>
      <c r="I42" s="714"/>
      <c r="J42" s="714"/>
      <c r="K42" s="714"/>
      <c r="L42" s="714"/>
      <c r="M42" s="714"/>
      <c r="N42" s="714"/>
      <c r="O42" s="563"/>
    </row>
    <row r="43" spans="2:25" x14ac:dyDescent="0.2">
      <c r="B43" s="707"/>
      <c r="C43" s="707"/>
      <c r="D43" s="713"/>
      <c r="E43" s="714" t="s">
        <v>178</v>
      </c>
      <c r="F43" s="714" t="str">
        <f t="shared" si="0"/>
        <v>0 kcal/kg</v>
      </c>
      <c r="G43" s="714" t="str">
        <f t="shared" si="1"/>
        <v xml:space="preserve"> kcal/kg</v>
      </c>
      <c r="H43" s="714"/>
      <c r="I43" s="714"/>
      <c r="J43" s="714"/>
      <c r="K43" s="714" t="s">
        <v>268</v>
      </c>
      <c r="L43" s="714" t="str">
        <f t="shared" ref="L43:L48" si="2">VLOOKUP($K43,Tbl_Ped_Totalen, 13,FALSE)</f>
        <v>0 mmol/kg</v>
      </c>
      <c r="M43" s="714" t="str">
        <f t="shared" ref="M43:M48" si="3">VLOOKUP($K43,Tbl_Ped_Totalen,10,FALSE)</f>
        <v>2-4 mmol/kg</v>
      </c>
      <c r="N43" s="714" t="str">
        <f>IF(_Glob_Lab_Natrium&gt;0,_Glob_Lab_Natrium,"")</f>
        <v/>
      </c>
      <c r="O43" s="563"/>
    </row>
    <row r="44" spans="2:25" x14ac:dyDescent="0.2">
      <c r="B44" s="707"/>
      <c r="C44" s="707"/>
      <c r="D44" s="713"/>
      <c r="E44" s="714" t="s">
        <v>143</v>
      </c>
      <c r="F44" s="714" t="str">
        <f t="shared" si="0"/>
        <v>0 gram/kg</v>
      </c>
      <c r="G44" s="714" t="str">
        <f t="shared" si="1"/>
        <v xml:space="preserve"> gram/kg</v>
      </c>
      <c r="H44" s="714" t="str">
        <f>"= "&amp;ROUND(PedBerTot!I5/1.4,1)&amp;" mg/kg/min"</f>
        <v>= 0 mg/kg/min</v>
      </c>
      <c r="I44" s="714" t="str">
        <f>IF(_Glob_Lab_Glucose&gt;0,_Glob_Lab_Glucose,"")</f>
        <v/>
      </c>
      <c r="J44" s="714"/>
      <c r="K44" s="714" t="s">
        <v>269</v>
      </c>
      <c r="L44" s="714" t="str">
        <f t="shared" si="2"/>
        <v>0 mmol/kg</v>
      </c>
      <c r="M44" s="714" t="str">
        <f t="shared" si="3"/>
        <v>1-2 mmol/kg</v>
      </c>
      <c r="N44" s="714" t="str">
        <f>IF(_Glob_Lab_Kalium&gt;0,_Glob_Lab_Kalium,"")</f>
        <v/>
      </c>
      <c r="O44" s="563"/>
    </row>
    <row r="45" spans="2:25" x14ac:dyDescent="0.2">
      <c r="B45" s="707"/>
      <c r="C45" s="707"/>
      <c r="D45" s="713"/>
      <c r="E45" s="714" t="s">
        <v>147</v>
      </c>
      <c r="F45" s="714" t="str">
        <f t="shared" si="0"/>
        <v>0 gram/kg</v>
      </c>
      <c r="G45" s="714" t="str">
        <f t="shared" si="1"/>
        <v xml:space="preserve"> gram/kg</v>
      </c>
      <c r="H45" s="714"/>
      <c r="I45" s="714" t="str">
        <f>IF(_Glob_Lab_Albumine&gt;0,_Glob_Lab_Albumine,"")</f>
        <v/>
      </c>
      <c r="J45" s="714"/>
      <c r="K45" s="714" t="s">
        <v>824</v>
      </c>
      <c r="L45" s="714" t="str">
        <f t="shared" si="2"/>
        <v>0 mmol/kg</v>
      </c>
      <c r="M45" s="714" t="str">
        <f t="shared" si="3"/>
        <v/>
      </c>
      <c r="N45" s="714" t="str">
        <f>IF(_Glob_Lab_Chloride&gt;0,_Glob_Lab_Chloride,"")</f>
        <v/>
      </c>
      <c r="O45" s="563"/>
    </row>
    <row r="46" spans="2:25" x14ac:dyDescent="0.2">
      <c r="B46" s="707"/>
      <c r="C46" s="707"/>
      <c r="D46" s="713"/>
      <c r="E46" s="714" t="s">
        <v>148</v>
      </c>
      <c r="F46" s="714" t="str">
        <f t="shared" si="0"/>
        <v>0 gram/kg</v>
      </c>
      <c r="G46" s="714" t="str">
        <f t="shared" si="1"/>
        <v xml:space="preserve"> gram/kg</v>
      </c>
      <c r="H46" s="714"/>
      <c r="I46" s="714" t="str">
        <f>IF(_Glob_Lab_Triglyceriden&gt;0,_Glob_Lab_Triglyceriden,"")</f>
        <v/>
      </c>
      <c r="J46" s="714"/>
      <c r="K46" s="714" t="s">
        <v>144</v>
      </c>
      <c r="L46" s="714" t="str">
        <f t="shared" si="2"/>
        <v>0 mmol/kg</v>
      </c>
      <c r="M46" s="714" t="str">
        <f t="shared" si="3"/>
        <v>0,8 mmol/kg</v>
      </c>
      <c r="N46" s="714" t="str">
        <f>IF(_Glob_Lab_Calcium&gt;0,_Glob_Lab_Calcium,"")</f>
        <v/>
      </c>
      <c r="O46" s="563"/>
    </row>
    <row r="47" spans="2:25" x14ac:dyDescent="0.2">
      <c r="B47" s="707"/>
      <c r="C47" s="707"/>
      <c r="D47" s="713"/>
      <c r="E47" s="714" t="s">
        <v>825</v>
      </c>
      <c r="F47" s="714" t="str">
        <f t="shared" si="0"/>
        <v>0 IE/kg</v>
      </c>
      <c r="G47" s="714" t="str">
        <f t="shared" si="1"/>
        <v/>
      </c>
      <c r="H47" s="714"/>
      <c r="I47" s="714"/>
      <c r="J47" s="714"/>
      <c r="K47" s="714" t="s">
        <v>146</v>
      </c>
      <c r="L47" s="714" t="str">
        <f t="shared" si="2"/>
        <v>0 mmol/kg</v>
      </c>
      <c r="M47" s="714" t="str">
        <f t="shared" si="3"/>
        <v>0,1-0,3 mmol/kg</v>
      </c>
      <c r="N47" s="714" t="str">
        <f>IF(_Glob_Lab_Magnesium&gt;0,_Glob_Lab_Magnesium,"")</f>
        <v/>
      </c>
    </row>
    <row r="48" spans="2:25" x14ac:dyDescent="0.2">
      <c r="B48" s="707"/>
      <c r="C48" s="707"/>
      <c r="D48" s="713"/>
      <c r="E48" s="714" t="s">
        <v>826</v>
      </c>
      <c r="F48" s="714" t="str">
        <f t="shared" si="0"/>
        <v>0 mmol/kg</v>
      </c>
      <c r="G48" s="714" t="str">
        <f t="shared" si="1"/>
        <v/>
      </c>
      <c r="H48" s="714"/>
      <c r="I48" s="714" t="str">
        <f>IF(_Glob_Lab_Ijzer&gt;0,_Glob_Lab_Ijzer,"")</f>
        <v/>
      </c>
      <c r="J48" s="714"/>
      <c r="K48" s="714" t="s">
        <v>145</v>
      </c>
      <c r="L48" s="714" t="str">
        <f t="shared" si="2"/>
        <v>0 mmol/kg</v>
      </c>
      <c r="M48" s="714" t="str">
        <f t="shared" si="3"/>
        <v>0,75 mmol/kg</v>
      </c>
      <c r="N48" s="71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5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5"/>
      <c r="L11" s="209"/>
    </row>
    <row r="12" spans="1:26" ht="15" x14ac:dyDescent="0.25">
      <c r="A12" s="415" t="s">
        <v>147</v>
      </c>
      <c r="B12" s="218">
        <f>_Glob_SpecialeVoeding_02</f>
        <v>0</v>
      </c>
      <c r="C12" s="218">
        <f t="shared" si="4"/>
        <v>0</v>
      </c>
      <c r="E12" s="415"/>
      <c r="L12" s="209"/>
    </row>
    <row r="13" spans="1:26" ht="15" x14ac:dyDescent="0.25">
      <c r="A13" s="415" t="s">
        <v>179</v>
      </c>
      <c r="B13" s="218">
        <f>_Glob_SpecialeVoeding_03</f>
        <v>0</v>
      </c>
      <c r="C13" s="218">
        <f t="shared" si="4"/>
        <v>0</v>
      </c>
      <c r="E13" s="415"/>
      <c r="L13" s="209"/>
    </row>
    <row r="14" spans="1:26" ht="15" x14ac:dyDescent="0.25">
      <c r="A14" s="415" t="s">
        <v>148</v>
      </c>
      <c r="B14" s="218">
        <f>_Glob_SpecialeVoeding_04</f>
        <v>0</v>
      </c>
      <c r="C14" s="218">
        <f t="shared" si="4"/>
        <v>0</v>
      </c>
      <c r="E14" s="415"/>
      <c r="L14" s="209"/>
    </row>
    <row r="15" spans="1:26" ht="15" x14ac:dyDescent="0.25">
      <c r="A15" s="415" t="s">
        <v>173</v>
      </c>
      <c r="B15" s="218">
        <f>_Glob_SpecialeVoeding_05</f>
        <v>0</v>
      </c>
      <c r="C15" s="218">
        <f t="shared" si="4"/>
        <v>0</v>
      </c>
      <c r="E15" s="415"/>
      <c r="L15" s="209"/>
    </row>
    <row r="16" spans="1:26" ht="15" x14ac:dyDescent="0.25">
      <c r="A16" s="415" t="s">
        <v>174</v>
      </c>
      <c r="B16" s="218">
        <f>_Glob_SpecialeVoeding_06</f>
        <v>0</v>
      </c>
      <c r="C16" s="218">
        <f t="shared" si="4"/>
        <v>0</v>
      </c>
      <c r="E16" s="415"/>
      <c r="L16" s="209"/>
    </row>
    <row r="17" spans="1:12" ht="15" x14ac:dyDescent="0.25">
      <c r="A17" s="415" t="s">
        <v>175</v>
      </c>
      <c r="B17" s="218">
        <f>_Glob_SpecialeVoeding_07</f>
        <v>0</v>
      </c>
      <c r="C17" s="218">
        <f t="shared" si="4"/>
        <v>0</v>
      </c>
      <c r="E17" s="415"/>
      <c r="L17" s="209"/>
    </row>
    <row r="18" spans="1:12" ht="15" x14ac:dyDescent="0.25">
      <c r="A18" s="415" t="s">
        <v>180</v>
      </c>
      <c r="B18" s="218">
        <f>_Glob_SpecialeVoeding_08</f>
        <v>0</v>
      </c>
      <c r="C18" s="218">
        <f t="shared" si="4"/>
        <v>0</v>
      </c>
      <c r="E18" s="415"/>
      <c r="L18" s="209"/>
    </row>
    <row r="19" spans="1:12" ht="15" x14ac:dyDescent="0.25">
      <c r="A19" s="415" t="s">
        <v>176</v>
      </c>
      <c r="B19" s="218">
        <f>_Glob_SpecialeVoeding_09</f>
        <v>0</v>
      </c>
      <c r="C19" s="218">
        <f t="shared" si="4"/>
        <v>0</v>
      </c>
      <c r="E19" s="415"/>
      <c r="L19" s="209"/>
    </row>
    <row r="20" spans="1:12" ht="15" x14ac:dyDescent="0.25">
      <c r="A20" s="415" t="s">
        <v>741</v>
      </c>
      <c r="B20" s="218">
        <f>_Glob_SpecialeVoeding_10</f>
        <v>0</v>
      </c>
      <c r="C20" s="218">
        <f t="shared" si="4"/>
        <v>0</v>
      </c>
      <c r="E20" s="415"/>
      <c r="L20" s="209"/>
    </row>
    <row r="21" spans="1:12" ht="15" x14ac:dyDescent="0.25">
      <c r="A21" s="415" t="s">
        <v>742</v>
      </c>
      <c r="B21" s="218">
        <f>_Glob_SpecialeVoeding_11</f>
        <v>0</v>
      </c>
      <c r="C21" s="218">
        <f t="shared" si="4"/>
        <v>0</v>
      </c>
      <c r="E21" s="415"/>
      <c r="L21" s="209"/>
    </row>
    <row r="22" spans="1:12" ht="15" x14ac:dyDescent="0.25">
      <c r="A22" s="415" t="s">
        <v>466</v>
      </c>
      <c r="B22" s="218">
        <f>_Glob_SpecialeVoeding_12</f>
        <v>0</v>
      </c>
      <c r="C22" s="218">
        <f t="shared" si="4"/>
        <v>0</v>
      </c>
      <c r="E22" s="415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68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68">
        <v>2</v>
      </c>
      <c r="J1" s="568">
        <v>3</v>
      </c>
      <c r="K1" s="568">
        <v>4</v>
      </c>
      <c r="L1" s="568">
        <v>5</v>
      </c>
      <c r="M1" s="568">
        <v>6</v>
      </c>
      <c r="N1" s="568">
        <v>7</v>
      </c>
      <c r="O1" s="568">
        <v>8</v>
      </c>
      <c r="P1" s="568">
        <v>9</v>
      </c>
      <c r="Q1" s="568">
        <v>10</v>
      </c>
      <c r="R1" s="568">
        <v>11</v>
      </c>
      <c r="S1" s="568">
        <v>12</v>
      </c>
      <c r="T1" s="568">
        <v>13</v>
      </c>
      <c r="U1" s="568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68" t="s">
        <v>178</v>
      </c>
      <c r="J2" s="568" t="s">
        <v>147</v>
      </c>
      <c r="K2" s="569" t="s">
        <v>179</v>
      </c>
      <c r="L2" s="568" t="s">
        <v>148</v>
      </c>
      <c r="M2" s="568" t="s">
        <v>173</v>
      </c>
      <c r="N2" s="568" t="s">
        <v>174</v>
      </c>
      <c r="O2" s="568" t="s">
        <v>175</v>
      </c>
      <c r="P2" s="568" t="s">
        <v>180</v>
      </c>
      <c r="Q2" s="568" t="s">
        <v>176</v>
      </c>
      <c r="R2" s="568" t="s">
        <v>741</v>
      </c>
      <c r="S2" s="568" t="s">
        <v>742</v>
      </c>
      <c r="T2" s="568" t="s">
        <v>466</v>
      </c>
      <c r="V2" s="212" t="s">
        <v>4782</v>
      </c>
      <c r="W2" s="212" t="s">
        <v>4783</v>
      </c>
      <c r="X2" s="792" t="s">
        <v>5304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68"/>
      <c r="J4" s="568"/>
      <c r="K4" s="568"/>
      <c r="L4" s="568"/>
      <c r="M4" s="568"/>
      <c r="N4" s="568"/>
      <c r="O4" s="568"/>
      <c r="P4" s="568"/>
      <c r="Q4" s="568"/>
      <c r="R4" s="568"/>
      <c r="S4" s="568"/>
      <c r="T4" s="568"/>
      <c r="U4" s="568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68">
        <f t="shared" ref="I5:T15" si="0">IF($H5="",0,VLOOKUP($H5,Tbl_Glob_ParEnt,I$1,FALSE))*$G5</f>
        <v>0</v>
      </c>
      <c r="J5" s="568">
        <f t="shared" si="0"/>
        <v>0</v>
      </c>
      <c r="K5" s="568">
        <f t="shared" si="0"/>
        <v>0</v>
      </c>
      <c r="L5" s="568">
        <f t="shared" si="0"/>
        <v>0</v>
      </c>
      <c r="M5" s="568">
        <f t="shared" si="0"/>
        <v>0</v>
      </c>
      <c r="N5" s="568">
        <f t="shared" si="0"/>
        <v>0</v>
      </c>
      <c r="O5" s="568">
        <f t="shared" si="0"/>
        <v>0</v>
      </c>
      <c r="P5" s="568">
        <f t="shared" si="0"/>
        <v>0</v>
      </c>
      <c r="Q5" s="568">
        <f t="shared" si="0"/>
        <v>0</v>
      </c>
      <c r="R5" s="568">
        <f t="shared" si="0"/>
        <v>0</v>
      </c>
      <c r="S5" s="568">
        <f t="shared" si="0"/>
        <v>0</v>
      </c>
      <c r="T5" s="568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68">
        <f t="shared" si="0"/>
        <v>0</v>
      </c>
      <c r="J6" s="568">
        <f t="shared" si="0"/>
        <v>0</v>
      </c>
      <c r="K6" s="568">
        <f t="shared" si="0"/>
        <v>0</v>
      </c>
      <c r="L6" s="568">
        <f t="shared" si="0"/>
        <v>0</v>
      </c>
      <c r="M6" s="568">
        <f t="shared" si="0"/>
        <v>0</v>
      </c>
      <c r="N6" s="568">
        <f t="shared" si="0"/>
        <v>0</v>
      </c>
      <c r="O6" s="568">
        <f t="shared" si="0"/>
        <v>0</v>
      </c>
      <c r="P6" s="568">
        <f t="shared" si="0"/>
        <v>0</v>
      </c>
      <c r="Q6" s="568">
        <f t="shared" si="0"/>
        <v>0</v>
      </c>
      <c r="R6" s="568">
        <f t="shared" si="0"/>
        <v>0</v>
      </c>
      <c r="S6" s="568">
        <f t="shared" si="0"/>
        <v>0</v>
      </c>
      <c r="T6" s="568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68">
        <f t="shared" si="0"/>
        <v>0</v>
      </c>
      <c r="J7" s="568">
        <f t="shared" si="0"/>
        <v>0</v>
      </c>
      <c r="K7" s="568">
        <f t="shared" si="0"/>
        <v>0</v>
      </c>
      <c r="L7" s="568">
        <f t="shared" si="0"/>
        <v>0</v>
      </c>
      <c r="M7" s="568">
        <f t="shared" si="0"/>
        <v>0</v>
      </c>
      <c r="N7" s="568">
        <f t="shared" si="0"/>
        <v>0</v>
      </c>
      <c r="O7" s="568">
        <f t="shared" si="0"/>
        <v>0</v>
      </c>
      <c r="P7" s="568">
        <f t="shared" si="0"/>
        <v>0</v>
      </c>
      <c r="Q7" s="568">
        <f t="shared" si="0"/>
        <v>0</v>
      </c>
      <c r="R7" s="568">
        <f t="shared" si="0"/>
        <v>0</v>
      </c>
      <c r="S7" s="568">
        <f t="shared" si="0"/>
        <v>0</v>
      </c>
      <c r="T7" s="568">
        <f t="shared" si="0"/>
        <v>0</v>
      </c>
      <c r="U7" s="568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68">
        <f t="shared" si="0"/>
        <v>0</v>
      </c>
      <c r="J8" s="568">
        <f t="shared" si="0"/>
        <v>0</v>
      </c>
      <c r="K8" s="568">
        <f t="shared" si="0"/>
        <v>0</v>
      </c>
      <c r="L8" s="568">
        <f t="shared" si="0"/>
        <v>0</v>
      </c>
      <c r="M8" s="568">
        <f t="shared" si="0"/>
        <v>0</v>
      </c>
      <c r="N8" s="568">
        <f t="shared" si="0"/>
        <v>0</v>
      </c>
      <c r="O8" s="568">
        <f t="shared" si="0"/>
        <v>0</v>
      </c>
      <c r="P8" s="568">
        <f t="shared" si="0"/>
        <v>0</v>
      </c>
      <c r="Q8" s="568">
        <f t="shared" si="0"/>
        <v>0</v>
      </c>
      <c r="R8" s="568">
        <f t="shared" si="0"/>
        <v>0</v>
      </c>
      <c r="S8" s="568">
        <f t="shared" si="0"/>
        <v>0</v>
      </c>
      <c r="T8" s="568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68">
        <f t="shared" si="0"/>
        <v>0</v>
      </c>
      <c r="J9" s="568">
        <f t="shared" si="0"/>
        <v>0</v>
      </c>
      <c r="K9" s="568">
        <f t="shared" si="0"/>
        <v>0</v>
      </c>
      <c r="L9" s="568">
        <f t="shared" si="0"/>
        <v>0</v>
      </c>
      <c r="M9" s="568">
        <f t="shared" si="0"/>
        <v>0</v>
      </c>
      <c r="N9" s="568">
        <f t="shared" si="0"/>
        <v>0</v>
      </c>
      <c r="O9" s="568">
        <f t="shared" si="0"/>
        <v>0</v>
      </c>
      <c r="P9" s="568">
        <f t="shared" si="0"/>
        <v>0</v>
      </c>
      <c r="Q9" s="568">
        <f t="shared" si="0"/>
        <v>0</v>
      </c>
      <c r="R9" s="568">
        <f t="shared" si="0"/>
        <v>0</v>
      </c>
      <c r="S9" s="568">
        <f t="shared" si="0"/>
        <v>0</v>
      </c>
      <c r="T9" s="568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68">
        <f t="shared" si="0"/>
        <v>0</v>
      </c>
      <c r="J10" s="568">
        <f t="shared" si="0"/>
        <v>0</v>
      </c>
      <c r="K10" s="568">
        <f t="shared" si="0"/>
        <v>0</v>
      </c>
      <c r="L10" s="568">
        <f t="shared" si="0"/>
        <v>0</v>
      </c>
      <c r="M10" s="568">
        <f t="shared" si="0"/>
        <v>0</v>
      </c>
      <c r="N10" s="568">
        <f t="shared" si="0"/>
        <v>0</v>
      </c>
      <c r="O10" s="568">
        <f t="shared" si="0"/>
        <v>0</v>
      </c>
      <c r="P10" s="568">
        <f t="shared" si="0"/>
        <v>0</v>
      </c>
      <c r="Q10" s="568">
        <f t="shared" si="0"/>
        <v>0</v>
      </c>
      <c r="R10" s="568">
        <f t="shared" si="0"/>
        <v>0</v>
      </c>
      <c r="S10" s="568">
        <f t="shared" si="0"/>
        <v>0</v>
      </c>
      <c r="T10" s="568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68">
        <f t="shared" ref="I11:T11" si="5">IF($H11="",0,VLOOKUP($H11,Tbl_Glob_ParEnt,I$1,FALSE))*$G11</f>
        <v>0</v>
      </c>
      <c r="J11" s="568">
        <f t="shared" si="5"/>
        <v>0</v>
      </c>
      <c r="K11" s="568">
        <f t="shared" si="5"/>
        <v>0</v>
      </c>
      <c r="L11" s="568">
        <f t="shared" si="5"/>
        <v>0</v>
      </c>
      <c r="M11" s="568">
        <f t="shared" si="5"/>
        <v>0</v>
      </c>
      <c r="N11" s="568">
        <f t="shared" si="5"/>
        <v>0</v>
      </c>
      <c r="O11" s="568">
        <f t="shared" si="5"/>
        <v>0</v>
      </c>
      <c r="P11" s="568">
        <f t="shared" si="5"/>
        <v>0</v>
      </c>
      <c r="Q11" s="568">
        <f t="shared" si="5"/>
        <v>0</v>
      </c>
      <c r="R11" s="568">
        <f t="shared" si="5"/>
        <v>0</v>
      </c>
      <c r="S11" s="568">
        <f t="shared" si="5"/>
        <v>0</v>
      </c>
      <c r="T11" s="568">
        <f t="shared" si="5"/>
        <v>0</v>
      </c>
      <c r="U11" s="568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68">
        <f t="shared" si="0"/>
        <v>0</v>
      </c>
      <c r="J12" s="568">
        <f t="shared" si="0"/>
        <v>0</v>
      </c>
      <c r="K12" s="568">
        <f t="shared" si="0"/>
        <v>0</v>
      </c>
      <c r="L12" s="568">
        <f t="shared" si="0"/>
        <v>0</v>
      </c>
      <c r="M12" s="568">
        <f t="shared" si="0"/>
        <v>0</v>
      </c>
      <c r="N12" s="568">
        <f t="shared" si="0"/>
        <v>0</v>
      </c>
      <c r="O12" s="568">
        <f t="shared" si="0"/>
        <v>0</v>
      </c>
      <c r="P12" s="568">
        <f t="shared" si="0"/>
        <v>0</v>
      </c>
      <c r="Q12" s="568">
        <f t="shared" si="0"/>
        <v>0</v>
      </c>
      <c r="R12" s="568">
        <f t="shared" si="0"/>
        <v>0</v>
      </c>
      <c r="S12" s="568">
        <f t="shared" si="0"/>
        <v>0</v>
      </c>
      <c r="T12" s="568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68">
        <f t="shared" si="0"/>
        <v>0</v>
      </c>
      <c r="J13" s="568">
        <f t="shared" si="0"/>
        <v>0</v>
      </c>
      <c r="K13" s="568">
        <f t="shared" si="0"/>
        <v>0</v>
      </c>
      <c r="L13" s="568">
        <f t="shared" si="0"/>
        <v>0</v>
      </c>
      <c r="M13" s="568">
        <f t="shared" si="0"/>
        <v>0</v>
      </c>
      <c r="N13" s="568">
        <f t="shared" si="0"/>
        <v>0</v>
      </c>
      <c r="O13" s="568">
        <f t="shared" si="0"/>
        <v>0</v>
      </c>
      <c r="P13" s="568">
        <f t="shared" si="0"/>
        <v>0</v>
      </c>
      <c r="Q13" s="568">
        <f t="shared" si="0"/>
        <v>0</v>
      </c>
      <c r="R13" s="568">
        <f t="shared" si="0"/>
        <v>0</v>
      </c>
      <c r="S13" s="568">
        <f t="shared" si="0"/>
        <v>0</v>
      </c>
      <c r="T13" s="568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68">
        <f t="shared" ref="I14:T14" si="6">IF($H14="",0,VLOOKUP($H14,Tbl_Glob_ParEnt,I$1,FALSE))*$G14</f>
        <v>0</v>
      </c>
      <c r="J14" s="568">
        <f t="shared" si="6"/>
        <v>0</v>
      </c>
      <c r="K14" s="568">
        <f t="shared" si="6"/>
        <v>0</v>
      </c>
      <c r="L14" s="568">
        <f t="shared" si="6"/>
        <v>0</v>
      </c>
      <c r="M14" s="568">
        <f t="shared" si="6"/>
        <v>0</v>
      </c>
      <c r="N14" s="568">
        <f t="shared" si="6"/>
        <v>0</v>
      </c>
      <c r="O14" s="568">
        <f t="shared" si="6"/>
        <v>0</v>
      </c>
      <c r="P14" s="568">
        <f t="shared" si="6"/>
        <v>0</v>
      </c>
      <c r="Q14" s="568">
        <f t="shared" si="6"/>
        <v>0</v>
      </c>
      <c r="R14" s="568">
        <f t="shared" si="6"/>
        <v>0</v>
      </c>
      <c r="S14" s="568">
        <f t="shared" si="6"/>
        <v>0</v>
      </c>
      <c r="T14" s="568">
        <f t="shared" si="6"/>
        <v>0</v>
      </c>
      <c r="U14" s="568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68">
        <f t="shared" si="0"/>
        <v>0</v>
      </c>
      <c r="J15" s="568">
        <f t="shared" si="0"/>
        <v>0</v>
      </c>
      <c r="K15" s="568">
        <f t="shared" si="0"/>
        <v>0</v>
      </c>
      <c r="L15" s="568">
        <f t="shared" si="0"/>
        <v>0</v>
      </c>
      <c r="M15" s="568">
        <f t="shared" si="0"/>
        <v>0</v>
      </c>
      <c r="N15" s="568">
        <f t="shared" si="0"/>
        <v>0</v>
      </c>
      <c r="O15" s="568">
        <f t="shared" si="0"/>
        <v>0</v>
      </c>
      <c r="P15" s="568">
        <f t="shared" si="0"/>
        <v>0</v>
      </c>
      <c r="Q15" s="568">
        <f t="shared" si="0"/>
        <v>0</v>
      </c>
      <c r="R15" s="568">
        <f t="shared" si="0"/>
        <v>0</v>
      </c>
      <c r="S15" s="568">
        <f t="shared" si="0"/>
        <v>0</v>
      </c>
      <c r="T15" s="568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68">
        <f t="shared" ref="I17:T20" si="10">IF($H17="",0,VLOOKUP($H17,Tbl_Glob_ParEnt,I$1,FALSE))*$G17</f>
        <v>0</v>
      </c>
      <c r="J17" s="568">
        <f t="shared" si="10"/>
        <v>0</v>
      </c>
      <c r="K17" s="568">
        <f t="shared" si="10"/>
        <v>0</v>
      </c>
      <c r="L17" s="568">
        <f t="shared" si="10"/>
        <v>0</v>
      </c>
      <c r="M17" s="568">
        <f t="shared" si="10"/>
        <v>0</v>
      </c>
      <c r="N17" s="568">
        <f t="shared" si="10"/>
        <v>0</v>
      </c>
      <c r="O17" s="568">
        <f t="shared" si="10"/>
        <v>0</v>
      </c>
      <c r="P17" s="568">
        <f t="shared" si="10"/>
        <v>0</v>
      </c>
      <c r="Q17" s="568">
        <f t="shared" si="10"/>
        <v>0</v>
      </c>
      <c r="R17" s="568">
        <f t="shared" si="10"/>
        <v>0</v>
      </c>
      <c r="S17" s="568">
        <f t="shared" si="10"/>
        <v>0</v>
      </c>
      <c r="T17" s="568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68">
        <f>IF($H18="",0,VLOOKUP($H18,Tbl_Glob_ParEnt,I$1,FALSE))*$G18</f>
        <v>0</v>
      </c>
      <c r="J18" s="568">
        <f t="shared" si="10"/>
        <v>0</v>
      </c>
      <c r="K18" s="568">
        <f t="shared" si="10"/>
        <v>0</v>
      </c>
      <c r="L18" s="568">
        <f t="shared" si="10"/>
        <v>0</v>
      </c>
      <c r="M18" s="568">
        <f t="shared" si="10"/>
        <v>0</v>
      </c>
      <c r="N18" s="568">
        <f t="shared" si="10"/>
        <v>0</v>
      </c>
      <c r="O18" s="568">
        <f t="shared" si="10"/>
        <v>0</v>
      </c>
      <c r="P18" s="568">
        <f t="shared" si="10"/>
        <v>0</v>
      </c>
      <c r="Q18" s="568">
        <f t="shared" si="10"/>
        <v>0</v>
      </c>
      <c r="R18" s="568">
        <f t="shared" si="10"/>
        <v>0</v>
      </c>
      <c r="S18" s="568">
        <f t="shared" si="10"/>
        <v>0</v>
      </c>
      <c r="T18" s="568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68">
        <f>IF($H19="",0,VLOOKUP($H19,Tbl_Glob_ParEnt,I$1,FALSE))*$G19</f>
        <v>0</v>
      </c>
      <c r="J19" s="568">
        <f t="shared" si="10"/>
        <v>0</v>
      </c>
      <c r="K19" s="568">
        <f t="shared" si="10"/>
        <v>0</v>
      </c>
      <c r="L19" s="568">
        <f t="shared" si="10"/>
        <v>0</v>
      </c>
      <c r="M19" s="568">
        <f t="shared" si="10"/>
        <v>0</v>
      </c>
      <c r="N19" s="568">
        <f t="shared" si="10"/>
        <v>0</v>
      </c>
      <c r="O19" s="568">
        <f t="shared" si="10"/>
        <v>0</v>
      </c>
      <c r="P19" s="568">
        <f t="shared" si="10"/>
        <v>0</v>
      </c>
      <c r="Q19" s="568">
        <f t="shared" si="10"/>
        <v>0</v>
      </c>
      <c r="R19" s="568">
        <f t="shared" si="10"/>
        <v>0</v>
      </c>
      <c r="S19" s="568">
        <f t="shared" si="10"/>
        <v>0</v>
      </c>
      <c r="T19" s="568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68">
        <f t="shared" si="10"/>
        <v>0</v>
      </c>
      <c r="J20" s="568">
        <f t="shared" si="10"/>
        <v>0</v>
      </c>
      <c r="K20" s="568">
        <f t="shared" si="10"/>
        <v>0</v>
      </c>
      <c r="L20" s="568">
        <f t="shared" si="10"/>
        <v>0</v>
      </c>
      <c r="M20" s="568">
        <f t="shared" si="10"/>
        <v>0</v>
      </c>
      <c r="N20" s="568">
        <f t="shared" si="10"/>
        <v>0</v>
      </c>
      <c r="O20" s="568">
        <f t="shared" si="10"/>
        <v>0</v>
      </c>
      <c r="P20" s="568">
        <f t="shared" si="10"/>
        <v>0</v>
      </c>
      <c r="Q20" s="568">
        <f t="shared" si="10"/>
        <v>0</v>
      </c>
      <c r="R20" s="568">
        <f t="shared" si="10"/>
        <v>0</v>
      </c>
      <c r="S20" s="568">
        <f t="shared" si="10"/>
        <v>0</v>
      </c>
      <c r="T20" s="568">
        <f t="shared" si="10"/>
        <v>0</v>
      </c>
      <c r="U20" s="568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68">
        <f t="shared" ref="I22:T24" si="11">IF($H22="",0,VLOOKUP($H22,Tbl_Glob_ParEnt,I$1,FALSE))*$G22</f>
        <v>0</v>
      </c>
      <c r="J22" s="568">
        <f t="shared" si="11"/>
        <v>0</v>
      </c>
      <c r="K22" s="568">
        <f t="shared" si="11"/>
        <v>0</v>
      </c>
      <c r="L22" s="568">
        <f t="shared" si="11"/>
        <v>0</v>
      </c>
      <c r="M22" s="568">
        <f t="shared" si="11"/>
        <v>0</v>
      </c>
      <c r="N22" s="568">
        <f t="shared" si="11"/>
        <v>0</v>
      </c>
      <c r="O22" s="568">
        <f t="shared" si="11"/>
        <v>0</v>
      </c>
      <c r="P22" s="568">
        <f t="shared" si="11"/>
        <v>0</v>
      </c>
      <c r="Q22" s="568">
        <f t="shared" si="11"/>
        <v>0</v>
      </c>
      <c r="R22" s="568">
        <f t="shared" si="11"/>
        <v>0</v>
      </c>
      <c r="S22" s="568">
        <f t="shared" si="11"/>
        <v>0</v>
      </c>
      <c r="T22" s="568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68">
        <f t="shared" si="11"/>
        <v>0</v>
      </c>
      <c r="J23" s="568">
        <f t="shared" si="11"/>
        <v>0</v>
      </c>
      <c r="K23" s="568">
        <f t="shared" si="11"/>
        <v>0</v>
      </c>
      <c r="L23" s="568">
        <f t="shared" si="11"/>
        <v>0</v>
      </c>
      <c r="M23" s="568">
        <f t="shared" si="11"/>
        <v>0</v>
      </c>
      <c r="N23" s="568">
        <f t="shared" si="11"/>
        <v>0</v>
      </c>
      <c r="O23" s="568">
        <f t="shared" si="11"/>
        <v>0</v>
      </c>
      <c r="P23" s="568">
        <f t="shared" si="11"/>
        <v>0</v>
      </c>
      <c r="Q23" s="568">
        <f t="shared" si="11"/>
        <v>0</v>
      </c>
      <c r="R23" s="568">
        <f t="shared" si="11"/>
        <v>0</v>
      </c>
      <c r="S23" s="568">
        <f t="shared" si="11"/>
        <v>0</v>
      </c>
      <c r="T23" s="568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68">
        <f t="shared" si="11"/>
        <v>0</v>
      </c>
      <c r="J24" s="568">
        <f t="shared" si="11"/>
        <v>0</v>
      </c>
      <c r="K24" s="568">
        <f t="shared" si="11"/>
        <v>0</v>
      </c>
      <c r="L24" s="568">
        <f t="shared" si="11"/>
        <v>0</v>
      </c>
      <c r="M24" s="568">
        <f t="shared" si="11"/>
        <v>0</v>
      </c>
      <c r="N24" s="568">
        <f t="shared" si="11"/>
        <v>0</v>
      </c>
      <c r="O24" s="568">
        <f t="shared" si="11"/>
        <v>0</v>
      </c>
      <c r="P24" s="568">
        <f t="shared" si="11"/>
        <v>0</v>
      </c>
      <c r="Q24" s="568">
        <f t="shared" si="11"/>
        <v>0</v>
      </c>
      <c r="R24" s="568">
        <f t="shared" si="11"/>
        <v>0</v>
      </c>
      <c r="S24" s="568">
        <f t="shared" si="11"/>
        <v>0</v>
      </c>
      <c r="T24" s="568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69" t="s">
        <v>178</v>
      </c>
      <c r="J25" s="569" t="s">
        <v>147</v>
      </c>
      <c r="K25" s="569" t="s">
        <v>143</v>
      </c>
      <c r="L25" s="569" t="s">
        <v>148</v>
      </c>
      <c r="M25" s="569" t="s">
        <v>268</v>
      </c>
      <c r="N25" s="569" t="s">
        <v>269</v>
      </c>
      <c r="O25" s="569" t="s">
        <v>144</v>
      </c>
      <c r="P25" s="569" t="s">
        <v>145</v>
      </c>
      <c r="Q25" s="569" t="s">
        <v>146</v>
      </c>
      <c r="R25" s="569" t="s">
        <v>826</v>
      </c>
      <c r="S25" s="569" t="s">
        <v>825</v>
      </c>
      <c r="T25" s="569" t="s">
        <v>824</v>
      </c>
      <c r="U25" s="569" t="s">
        <v>267</v>
      </c>
    </row>
    <row r="26" spans="1:25" x14ac:dyDescent="0.2">
      <c r="A26" t="s">
        <v>86</v>
      </c>
      <c r="G26">
        <f>SUM(G5:G24)-G16</f>
        <v>0</v>
      </c>
      <c r="I26" s="568">
        <f t="shared" ref="I26:T26" si="12">SUM(I3:I24)</f>
        <v>0</v>
      </c>
      <c r="J26" s="568">
        <f t="shared" si="12"/>
        <v>0</v>
      </c>
      <c r="K26" s="568">
        <f t="shared" si="12"/>
        <v>0</v>
      </c>
      <c r="L26" s="568">
        <f t="shared" si="12"/>
        <v>0</v>
      </c>
      <c r="M26" s="568">
        <f t="shared" si="12"/>
        <v>0</v>
      </c>
      <c r="N26" s="568">
        <f t="shared" si="12"/>
        <v>0</v>
      </c>
      <c r="O26" s="568">
        <f t="shared" si="12"/>
        <v>0</v>
      </c>
      <c r="P26" s="568">
        <f t="shared" si="12"/>
        <v>0</v>
      </c>
      <c r="Q26" s="568">
        <f t="shared" si="12"/>
        <v>0</v>
      </c>
      <c r="R26" s="568">
        <f t="shared" si="12"/>
        <v>0</v>
      </c>
      <c r="S26" s="568">
        <f t="shared" si="12"/>
        <v>0</v>
      </c>
      <c r="T26" s="568">
        <f t="shared" si="12"/>
        <v>0</v>
      </c>
      <c r="U26" s="568">
        <f>G26</f>
        <v>0</v>
      </c>
    </row>
    <row r="27" spans="1:25" x14ac:dyDescent="0.2">
      <c r="A27" s="422"/>
      <c r="B27" s="422"/>
      <c r="C27" s="422"/>
      <c r="D27" s="422"/>
      <c r="E27" s="422"/>
      <c r="F27" s="422"/>
      <c r="G27" s="422"/>
      <c r="H27" s="422"/>
      <c r="I27" s="416"/>
      <c r="J27" s="416"/>
      <c r="K27" s="416"/>
      <c r="L27" s="416"/>
      <c r="M27" s="416"/>
      <c r="N27" s="416"/>
      <c r="O27" s="416"/>
      <c r="P27" s="416"/>
      <c r="Q27" s="416"/>
      <c r="R27" s="416"/>
    </row>
    <row r="28" spans="1:25" x14ac:dyDescent="0.2">
      <c r="A28" s="567" t="s">
        <v>184</v>
      </c>
      <c r="B28" s="783">
        <v>0</v>
      </c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</row>
    <row r="29" spans="1:25" x14ac:dyDescent="0.2">
      <c r="A29" s="422"/>
      <c r="B29" s="422"/>
      <c r="C29" s="422"/>
      <c r="D29" s="422"/>
      <c r="E29" s="422"/>
      <c r="F29" s="422"/>
      <c r="G29" s="422"/>
      <c r="H29" s="422"/>
      <c r="I29" s="416"/>
      <c r="J29" s="416"/>
      <c r="K29" s="416"/>
      <c r="L29" s="416"/>
      <c r="M29" s="416"/>
      <c r="N29" s="416"/>
      <c r="O29" s="416"/>
      <c r="P29" s="416"/>
      <c r="Q29" s="416"/>
      <c r="R29" s="416"/>
    </row>
    <row r="30" spans="1:25" ht="38.25" x14ac:dyDescent="0.2">
      <c r="A30" s="416"/>
      <c r="B30" s="791" t="s">
        <v>5280</v>
      </c>
      <c r="C30" s="791" t="s">
        <v>5281</v>
      </c>
      <c r="D30" s="791" t="s">
        <v>5282</v>
      </c>
      <c r="E30" s="791" t="s">
        <v>5283</v>
      </c>
      <c r="F30" s="791" t="s">
        <v>5284</v>
      </c>
      <c r="G30" s="791" t="s">
        <v>5285</v>
      </c>
      <c r="H30" s="791" t="s">
        <v>5286</v>
      </c>
      <c r="I30" s="416"/>
      <c r="J30" s="416"/>
      <c r="K30" s="416"/>
      <c r="L30" s="416"/>
      <c r="M30" s="416"/>
      <c r="N30" s="416"/>
      <c r="O30" s="416"/>
      <c r="P30" s="416"/>
      <c r="Q30" s="416"/>
      <c r="R30" s="416"/>
    </row>
    <row r="31" spans="1:25" x14ac:dyDescent="0.2">
      <c r="B31" s="791" t="str">
        <f>IF(NOT(D5),IF(H5="","",H5&amp;"::"&amp;W5),"")</f>
        <v/>
      </c>
      <c r="C31" s="791" t="str">
        <f>IF(NOT($H$21=""),H22&amp;"::"&amp;W22,"")</f>
        <v/>
      </c>
      <c r="D31" s="791" t="str">
        <f>IF(AND(D5,H5&lt;&gt;""),H5&amp;"::"&amp;W5,"")</f>
        <v/>
      </c>
      <c r="E31" s="791" t="str">
        <f>IF(AND(D6,H6&lt;&gt;""),H6&amp;"::"&amp;W6,"")</f>
        <v/>
      </c>
      <c r="F31" s="791" t="str">
        <f>IF(D11,IF(H11="","",H11&amp;"::"&amp;W11),"")</f>
        <v/>
      </c>
      <c r="G31" s="791" t="str">
        <f>IF(H14="","",H14&amp;"::"&amp;W14)</f>
        <v/>
      </c>
      <c r="H31" s="791" t="str">
        <f>IF(H17="","",H17&amp;"::"&amp;W17)</f>
        <v/>
      </c>
      <c r="I31" s="416"/>
      <c r="J31" s="416"/>
      <c r="K31" s="416"/>
      <c r="L31" s="416"/>
      <c r="M31" s="416"/>
      <c r="N31" s="416"/>
      <c r="O31" s="416"/>
      <c r="P31" s="416"/>
      <c r="Q31" s="416"/>
      <c r="R31" s="416"/>
    </row>
    <row r="32" spans="1:25" x14ac:dyDescent="0.2">
      <c r="B32" s="791" t="str">
        <f>IF(NOT(D6),IF(H6="","",H6&amp;"::"&amp;W6),"")</f>
        <v/>
      </c>
      <c r="C32" s="791" t="str">
        <f t="shared" ref="C32:C33" si="13">IF(NOT($H$21=""),H23&amp;"::"&amp;W23,"")</f>
        <v/>
      </c>
      <c r="D32" s="791"/>
      <c r="E32" s="791" t="str">
        <f>IF(AND(D7,H7&lt;&gt;""),H7&amp;"::"&amp;W7,"")</f>
        <v/>
      </c>
      <c r="F32" s="791" t="str">
        <f>IF(D11,IF(H12="","",H12&amp;"::"&amp;W12),"")</f>
        <v/>
      </c>
      <c r="G32" s="791" t="str">
        <f>IF(H15="","",H15&amp;"::"&amp;W15)</f>
        <v/>
      </c>
      <c r="H32" s="791" t="str">
        <f t="shared" ref="H32:H33" si="14">IF(H18="","",H18&amp;"::"&amp;W18)</f>
        <v/>
      </c>
      <c r="I32" s="416"/>
      <c r="J32" s="416"/>
      <c r="K32" s="416"/>
      <c r="L32" s="416"/>
      <c r="M32" s="416"/>
      <c r="N32" s="416"/>
      <c r="O32" s="416"/>
      <c r="P32" s="416"/>
      <c r="Q32" s="416"/>
      <c r="R32" s="416"/>
    </row>
    <row r="33" spans="1:18" x14ac:dyDescent="0.2">
      <c r="B33" s="791" t="str">
        <f>IF(B8&gt;1,H8&amp;"::"&amp;W8,"")</f>
        <v/>
      </c>
      <c r="C33" s="791" t="str">
        <f t="shared" si="13"/>
        <v/>
      </c>
      <c r="D33" s="791"/>
      <c r="E33" s="791"/>
      <c r="F33" s="791" t="str">
        <f>IF(D11,IF(H13="","",H13&amp;"::"&amp;W13),"")</f>
        <v/>
      </c>
      <c r="G33" s="791"/>
      <c r="H33" s="791" t="str">
        <f t="shared" si="14"/>
        <v/>
      </c>
      <c r="I33" s="416"/>
      <c r="J33" s="416"/>
      <c r="K33" s="416"/>
      <c r="L33" s="416"/>
      <c r="M33" s="416"/>
      <c r="N33" s="416"/>
      <c r="O33" s="416"/>
      <c r="P33" s="416"/>
      <c r="Q33" s="416"/>
      <c r="R33" s="416"/>
    </row>
    <row r="34" spans="1:18" x14ac:dyDescent="0.2">
      <c r="B34" s="791" t="str">
        <f>IF(B9,H9&amp;"::"&amp;W9,"")</f>
        <v/>
      </c>
      <c r="C34" s="791"/>
      <c r="D34" s="791"/>
      <c r="E34" s="791"/>
      <c r="F34" s="791"/>
      <c r="G34" s="791"/>
      <c r="H34" s="791"/>
      <c r="I34" s="416"/>
      <c r="J34" s="416"/>
      <c r="K34" s="416"/>
      <c r="L34" s="416"/>
      <c r="M34" s="416"/>
      <c r="N34" s="416"/>
      <c r="O34" s="416"/>
      <c r="P34" s="416"/>
      <c r="Q34" s="416"/>
      <c r="R34" s="416"/>
    </row>
    <row r="35" spans="1:18" x14ac:dyDescent="0.2">
      <c r="B35" s="791" t="str">
        <f>IF(B10,H10&amp;"::"&amp;W10,"")</f>
        <v/>
      </c>
      <c r="C35" s="791" t="str">
        <f t="shared" ref="C35:C36" si="15">IF(NOT(E9),I9&amp;"::"&amp;Y9,"")</f>
        <v/>
      </c>
      <c r="D35" s="791"/>
      <c r="E35" s="791"/>
      <c r="F35" s="791"/>
      <c r="G35" s="791"/>
      <c r="H35" s="791"/>
      <c r="I35" s="416"/>
      <c r="J35" s="416"/>
      <c r="K35" s="416"/>
      <c r="L35" s="416"/>
      <c r="M35" s="416"/>
      <c r="N35" s="416"/>
      <c r="O35" s="416"/>
      <c r="P35" s="416"/>
      <c r="Q35" s="416"/>
      <c r="R35" s="416"/>
    </row>
    <row r="36" spans="1:18" x14ac:dyDescent="0.2">
      <c r="B36" s="791" t="str">
        <f>IF(AND(A12,NOT(D11)),H12&amp;"::"&amp;W12,"")</f>
        <v>::</v>
      </c>
      <c r="C36" s="791" t="str">
        <f t="shared" si="15"/>
        <v/>
      </c>
      <c r="D36" s="791"/>
      <c r="E36" s="791"/>
      <c r="F36" s="791"/>
      <c r="G36" s="791"/>
      <c r="H36" s="791"/>
      <c r="I36" s="416"/>
      <c r="J36" s="416"/>
      <c r="K36" s="416"/>
      <c r="L36" s="416"/>
      <c r="M36" s="416"/>
      <c r="N36" s="416"/>
      <c r="O36" s="416"/>
      <c r="P36" s="416"/>
      <c r="Q36" s="416"/>
      <c r="R36" s="416"/>
    </row>
    <row r="37" spans="1:18" x14ac:dyDescent="0.2">
      <c r="B37" s="791" t="str">
        <f>IF(AND(A13,NOT(D11)),H13&amp;"::"&amp;W13,"")</f>
        <v>::</v>
      </c>
      <c r="C37" s="791"/>
      <c r="D37" s="791"/>
      <c r="E37" s="791"/>
      <c r="F37" s="791"/>
      <c r="G37" s="791"/>
      <c r="H37" s="791"/>
      <c r="I37" s="416"/>
      <c r="J37" s="416"/>
      <c r="K37" s="416"/>
      <c r="L37" s="416"/>
      <c r="M37" s="416"/>
      <c r="N37" s="416"/>
      <c r="O37" s="416"/>
      <c r="P37" s="416"/>
      <c r="Q37" s="416"/>
      <c r="R37" s="416"/>
    </row>
    <row r="38" spans="1:18" x14ac:dyDescent="0.2">
      <c r="A38" s="789"/>
      <c r="B38" s="791" t="str">
        <f>ConcatenateRange(B31:B37,"##")</f>
        <v>::##::</v>
      </c>
      <c r="C38" s="791" t="str">
        <f>ConcatenateRange(C31:C37,"##")</f>
        <v/>
      </c>
      <c r="D38" s="791" t="str">
        <f>ConcatenateRange(D31:D37,"##")</f>
        <v/>
      </c>
      <c r="E38" s="791" t="str">
        <f>ConcatenateRange(E31:E37,"##")</f>
        <v/>
      </c>
      <c r="F38" s="791" t="str">
        <f>ConcatenateRange(F31:F37,"##")</f>
        <v/>
      </c>
      <c r="G38" s="791" t="str">
        <f>ConcatenateRange(G31:G37,"##")</f>
        <v/>
      </c>
      <c r="H38" s="791" t="str">
        <f>ConcatenateRange(H31:H37,"##")</f>
        <v/>
      </c>
      <c r="I38" s="416"/>
      <c r="J38" s="416"/>
      <c r="K38" s="416"/>
      <c r="L38" s="416"/>
      <c r="M38" s="416"/>
      <c r="N38" s="416"/>
      <c r="O38" s="416"/>
      <c r="P38" s="416"/>
      <c r="Q38" s="416"/>
      <c r="R38" s="416"/>
    </row>
    <row r="39" spans="1:18" x14ac:dyDescent="0.2">
      <c r="A39" s="416"/>
      <c r="B39" s="789"/>
      <c r="D39" s="422"/>
      <c r="E39" s="422"/>
      <c r="F39" s="422"/>
      <c r="G39" s="422"/>
      <c r="H39" s="422"/>
      <c r="I39" s="416"/>
      <c r="J39" s="416"/>
      <c r="K39" s="416"/>
      <c r="L39" s="416"/>
      <c r="M39" s="416"/>
      <c r="N39" s="416"/>
      <c r="O39" s="416"/>
      <c r="P39" s="416"/>
      <c r="Q39" s="416"/>
      <c r="R39" s="416"/>
    </row>
    <row r="40" spans="1:18" x14ac:dyDescent="0.2">
      <c r="A40" s="416"/>
      <c r="B40" s="422"/>
      <c r="D40" s="422"/>
      <c r="E40" s="422"/>
      <c r="F40" s="422"/>
      <c r="G40" s="422"/>
      <c r="H40" s="422"/>
      <c r="I40" s="416"/>
      <c r="J40" s="416"/>
      <c r="K40" s="416"/>
      <c r="L40" s="416"/>
      <c r="M40" s="416"/>
      <c r="N40" s="416"/>
      <c r="O40" s="416"/>
      <c r="P40" s="416"/>
      <c r="Q40" s="416"/>
      <c r="R40" s="416"/>
    </row>
    <row r="41" spans="1:18" x14ac:dyDescent="0.2">
      <c r="A41" s="416"/>
      <c r="B41" s="422"/>
      <c r="D41" s="422"/>
      <c r="E41" s="422"/>
      <c r="F41" s="422"/>
      <c r="G41" s="422"/>
      <c r="H41" s="422"/>
      <c r="I41" s="416"/>
      <c r="J41" s="416"/>
      <c r="K41" s="416"/>
      <c r="L41" s="416"/>
      <c r="M41" s="416"/>
      <c r="N41" s="416"/>
      <c r="O41" s="416"/>
      <c r="P41" s="416"/>
      <c r="Q41" s="416"/>
      <c r="R41" s="416"/>
    </row>
    <row r="42" spans="1:18" x14ac:dyDescent="0.2">
      <c r="A42" s="416"/>
      <c r="B42" s="422"/>
      <c r="C42" s="422"/>
      <c r="D42" s="422"/>
      <c r="E42" s="422"/>
      <c r="F42" s="422"/>
      <c r="G42" s="422"/>
      <c r="H42" s="422"/>
      <c r="I42" s="416"/>
      <c r="J42" s="416"/>
      <c r="K42" s="416"/>
      <c r="L42" s="580"/>
      <c r="M42" s="416"/>
      <c r="N42" s="416"/>
      <c r="O42" s="416"/>
      <c r="P42" s="416"/>
      <c r="Q42" s="416"/>
      <c r="R42" s="416"/>
    </row>
    <row r="43" spans="1:18" x14ac:dyDescent="0.2">
      <c r="A43" s="422"/>
      <c r="C43" s="422"/>
      <c r="D43" s="422"/>
      <c r="E43" s="422"/>
      <c r="F43" s="422"/>
      <c r="G43" s="422"/>
      <c r="H43" s="422"/>
      <c r="I43" s="416"/>
      <c r="J43" s="416"/>
      <c r="K43" s="416"/>
      <c r="L43" s="416"/>
      <c r="M43" s="416"/>
      <c r="N43" s="416"/>
      <c r="O43" s="416"/>
      <c r="P43" s="416"/>
      <c r="Q43" s="416"/>
      <c r="R43" s="416"/>
    </row>
    <row r="44" spans="1:18" x14ac:dyDescent="0.2">
      <c r="A44" s="422"/>
      <c r="C44" s="422"/>
      <c r="D44" s="422"/>
      <c r="E44" s="422"/>
      <c r="F44" s="422"/>
      <c r="G44" s="422"/>
      <c r="H44" s="422"/>
      <c r="I44" s="416"/>
      <c r="J44" s="416"/>
      <c r="K44" s="416"/>
      <c r="L44" s="416"/>
      <c r="M44" s="416"/>
      <c r="N44" s="416"/>
      <c r="O44" s="416"/>
      <c r="P44" s="416"/>
      <c r="Q44" s="416"/>
      <c r="R44" s="416"/>
    </row>
    <row r="45" spans="1:18" x14ac:dyDescent="0.2">
      <c r="P45" s="56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68">
        <v>1</v>
      </c>
      <c r="B1" s="568">
        <v>2</v>
      </c>
      <c r="C1" s="568">
        <v>3</v>
      </c>
      <c r="D1" s="568">
        <v>4</v>
      </c>
      <c r="E1" s="568">
        <v>5</v>
      </c>
      <c r="F1" s="568">
        <v>6</v>
      </c>
      <c r="G1" s="568">
        <v>7</v>
      </c>
      <c r="H1" s="568">
        <v>8</v>
      </c>
      <c r="I1" s="568">
        <v>9</v>
      </c>
      <c r="J1" s="568">
        <v>10</v>
      </c>
      <c r="K1" s="568">
        <v>11</v>
      </c>
      <c r="L1" s="568">
        <v>12</v>
      </c>
      <c r="M1" s="568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8" t="s">
        <v>158</v>
      </c>
      <c r="B1" s="418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19" t="s">
        <v>4077</v>
      </c>
      <c r="D2" s="419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0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0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9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1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1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1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1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1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1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1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1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782" customWidth="1"/>
    <col min="2" max="9" width="10.7109375" style="782" customWidth="1"/>
    <col min="10" max="10" width="3.7109375" style="782" customWidth="1"/>
    <col min="11" max="12" width="10.7109375" style="782" customWidth="1"/>
    <col min="13" max="16384" width="9.140625" style="782"/>
  </cols>
  <sheetData>
    <row r="1" spans="1:81" s="490" customFormat="1" ht="17.25" customHeight="1" x14ac:dyDescent="0.2">
      <c r="A1" s="356"/>
      <c r="B1" s="779"/>
      <c r="C1" s="779"/>
      <c r="D1" s="779"/>
      <c r="E1" s="779"/>
      <c r="F1" s="779"/>
      <c r="G1" s="779"/>
      <c r="H1" s="779"/>
      <c r="I1" s="779"/>
      <c r="J1" s="779"/>
      <c r="K1" s="779"/>
      <c r="L1" s="779"/>
      <c r="M1" s="779"/>
      <c r="N1" s="779"/>
      <c r="O1" s="779"/>
      <c r="P1" s="779"/>
      <c r="Q1" s="779"/>
      <c r="R1" s="779"/>
      <c r="S1" s="779"/>
      <c r="T1" s="357"/>
      <c r="U1" s="357"/>
      <c r="V1" s="357"/>
      <c r="W1" s="357"/>
      <c r="X1" s="357"/>
    </row>
    <row r="2" spans="1:81" s="490" customFormat="1" ht="17.25" customHeight="1" x14ac:dyDescent="0.2">
      <c r="A2" s="357"/>
      <c r="B2" s="779"/>
      <c r="C2" s="647" t="s">
        <v>235</v>
      </c>
      <c r="D2" s="648" t="str">
        <f ca="1">Txt_Pat_AfspraakDat</f>
        <v>24-sep-2017</v>
      </c>
      <c r="E2" s="649"/>
      <c r="F2" s="647"/>
      <c r="G2" s="646"/>
      <c r="H2" s="651" t="s">
        <v>3496</v>
      </c>
      <c r="I2" s="647"/>
      <c r="J2" s="779" t="str">
        <f>Txt_Pat_OpnameDat</f>
        <v/>
      </c>
      <c r="K2" s="779"/>
      <c r="L2" s="779"/>
      <c r="M2" s="779" t="str">
        <f>Txt_Pat_Gewicht</f>
        <v>Gewicht:</v>
      </c>
      <c r="N2" s="779"/>
      <c r="O2" s="779" t="str">
        <f>Txt_Pat_Bed</f>
        <v/>
      </c>
      <c r="P2" s="779"/>
      <c r="Q2" s="779"/>
      <c r="R2" s="779"/>
      <c r="S2" s="779"/>
      <c r="T2" s="357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6"/>
      <c r="H3" s="651" t="s">
        <v>3497</v>
      </c>
      <c r="I3" s="779"/>
      <c r="J3" s="647" t="str">
        <f ca="1">Txt_Pat_GeboorteDat</f>
        <v/>
      </c>
      <c r="K3" s="779"/>
      <c r="L3" s="779"/>
      <c r="M3" s="779" t="str">
        <f>Txt_Pat_Lengte</f>
        <v>Lengte:</v>
      </c>
      <c r="N3" s="779"/>
      <c r="O3" s="779"/>
      <c r="P3" s="779"/>
      <c r="Q3" s="779"/>
      <c r="R3" s="779"/>
      <c r="S3" s="779"/>
      <c r="T3" s="357"/>
      <c r="U3" s="357"/>
      <c r="V3" s="357"/>
      <c r="W3" s="357"/>
      <c r="X3" s="357"/>
    </row>
    <row r="4" spans="1:81" s="490" customFormat="1" ht="17.25" customHeight="1" x14ac:dyDescent="0.2">
      <c r="A4" s="357"/>
      <c r="B4" s="779"/>
      <c r="C4" s="647" t="s">
        <v>3493</v>
      </c>
      <c r="D4" s="647" t="str">
        <f>Txt_Pat_PatNo</f>
        <v/>
      </c>
      <c r="E4" s="649"/>
      <c r="F4" s="647"/>
      <c r="G4" s="646"/>
      <c r="H4" s="655" t="s">
        <v>213</v>
      </c>
      <c r="I4" s="647"/>
      <c r="J4" s="647" t="str">
        <f ca="1">Txt_Pat_Leeftijd</f>
        <v/>
      </c>
      <c r="K4" s="779"/>
      <c r="L4" s="779"/>
      <c r="M4" s="779" t="str">
        <f>Txt_Pat_Oppervlak</f>
        <v>Lichamelijk oppervlak:</v>
      </c>
      <c r="N4" s="779"/>
      <c r="O4" s="779"/>
      <c r="P4" s="779"/>
      <c r="Q4" s="779"/>
      <c r="R4" s="779"/>
      <c r="S4" s="779"/>
      <c r="T4" s="357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s="490" customFormat="1" ht="8.1" customHeight="1" x14ac:dyDescent="0.2">
      <c r="A5" s="357"/>
      <c r="B5" s="779"/>
      <c r="C5" s="647"/>
      <c r="D5" s="647"/>
      <c r="E5" s="649"/>
      <c r="F5" s="647"/>
      <c r="G5" s="779"/>
      <c r="H5" s="655"/>
      <c r="I5" s="647"/>
      <c r="J5" s="647"/>
      <c r="K5" s="779"/>
      <c r="L5" s="779"/>
      <c r="M5" s="779"/>
      <c r="N5" s="779"/>
      <c r="O5" s="779"/>
      <c r="P5" s="779"/>
      <c r="Q5" s="779"/>
      <c r="R5" s="779"/>
      <c r="S5" s="779"/>
      <c r="T5" s="357"/>
      <c r="U5" s="357"/>
      <c r="V5" s="357"/>
      <c r="W5" s="357"/>
      <c r="X5" s="357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1"/>
      <c r="BO5" s="361"/>
      <c r="BP5" s="361"/>
      <c r="BQ5" s="361"/>
      <c r="BR5" s="361"/>
      <c r="BS5" s="361"/>
      <c r="BT5" s="361"/>
      <c r="BU5" s="361"/>
      <c r="BV5" s="361"/>
      <c r="BW5" s="361"/>
      <c r="BX5" s="361"/>
      <c r="BY5" s="361"/>
      <c r="BZ5" s="361"/>
      <c r="CA5" s="361"/>
      <c r="CB5" s="361"/>
      <c r="CC5" s="361"/>
    </row>
    <row r="7" spans="1:81" ht="20.100000000000001" customHeight="1" x14ac:dyDescent="0.2">
      <c r="A7" s="399"/>
      <c r="B7" s="700" t="s">
        <v>110</v>
      </c>
      <c r="C7" s="701"/>
      <c r="D7" s="701" t="s">
        <v>572</v>
      </c>
      <c r="E7" s="701"/>
      <c r="F7" s="701"/>
      <c r="G7" s="700"/>
      <c r="H7" s="702"/>
      <c r="I7" s="700"/>
      <c r="J7" s="700"/>
      <c r="K7" s="700"/>
      <c r="L7" s="700"/>
      <c r="M7" s="700"/>
      <c r="N7" s="700"/>
    </row>
    <row r="8" spans="1:81" x14ac:dyDescent="0.2">
      <c r="B8" s="541"/>
    </row>
    <row r="9" spans="1:81" ht="18.75" customHeight="1" x14ac:dyDescent="0.2">
      <c r="B9" s="682" t="s">
        <v>570</v>
      </c>
      <c r="C9" s="683" t="str">
        <f>PedBerLab!C3</f>
        <v/>
      </c>
      <c r="D9" s="682" t="s">
        <v>358</v>
      </c>
      <c r="E9" s="683" t="str">
        <f>PedBerLab!E3</f>
        <v/>
      </c>
      <c r="F9" s="682" t="s">
        <v>359</v>
      </c>
      <c r="G9" s="683" t="str">
        <f>PedBerLab!G3</f>
        <v/>
      </c>
      <c r="H9" s="682" t="s">
        <v>111</v>
      </c>
      <c r="I9" s="683" t="str">
        <f>PedBerLab!I3</f>
        <v/>
      </c>
      <c r="J9" s="682"/>
      <c r="K9" s="682" t="s">
        <v>18</v>
      </c>
      <c r="L9" s="683" t="str">
        <f>PedBerLab!L3</f>
        <v/>
      </c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00"/>
      <c r="K10" s="412"/>
      <c r="L10" s="412"/>
    </row>
    <row r="11" spans="1:81" ht="26.25" customHeight="1" x14ac:dyDescent="0.2">
      <c r="B11" s="412"/>
      <c r="C11" s="412"/>
      <c r="D11" s="412"/>
      <c r="E11" s="412"/>
      <c r="F11" s="412"/>
      <c r="G11" s="412"/>
      <c r="H11" s="412"/>
      <c r="I11" s="412"/>
      <c r="J11" s="400"/>
      <c r="K11" s="412"/>
      <c r="L11" s="412"/>
    </row>
    <row r="12" spans="1:81" ht="26.25" customHeight="1" x14ac:dyDescent="0.2">
      <c r="A12" s="399"/>
      <c r="B12" s="412"/>
      <c r="C12" s="412"/>
      <c r="D12" s="412"/>
      <c r="E12" s="412"/>
      <c r="F12" s="412"/>
      <c r="G12" s="412"/>
      <c r="H12" s="412"/>
      <c r="I12" s="412"/>
      <c r="J12" s="400"/>
      <c r="K12" s="412"/>
      <c r="L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00"/>
      <c r="K13" s="412"/>
      <c r="L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00"/>
      <c r="K14" s="412"/>
      <c r="L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00"/>
      <c r="K15" s="412"/>
      <c r="L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00"/>
      <c r="K16" s="412"/>
      <c r="L16" s="412"/>
    </row>
    <row r="17" spans="2:12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00"/>
      <c r="K17" s="412"/>
      <c r="L17" s="412"/>
    </row>
    <row r="18" spans="2:12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00"/>
      <c r="K18" s="412"/>
      <c r="L18" s="412"/>
    </row>
    <row r="19" spans="2:12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00"/>
      <c r="K19" s="412"/>
      <c r="L19" s="412"/>
    </row>
    <row r="20" spans="2:12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00"/>
      <c r="K20" s="412"/>
      <c r="L20" s="412"/>
    </row>
    <row r="21" spans="2:12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00"/>
      <c r="K21" s="412"/>
      <c r="L21" s="412"/>
    </row>
    <row r="22" spans="2:12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00"/>
      <c r="K22" s="412"/>
      <c r="L22" s="412"/>
    </row>
    <row r="23" spans="2:12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00"/>
      <c r="K23" s="412"/>
      <c r="L23" s="412"/>
    </row>
    <row r="24" spans="2:12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00"/>
      <c r="K24" s="412"/>
      <c r="L24" s="412"/>
    </row>
    <row r="25" spans="2:12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00"/>
      <c r="K25" s="412"/>
      <c r="L25" s="412"/>
    </row>
    <row r="26" spans="2:12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00"/>
      <c r="K26" s="412"/>
      <c r="L26" s="412"/>
    </row>
    <row r="27" spans="2:12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00"/>
      <c r="K27" s="412"/>
      <c r="L27" s="412"/>
    </row>
    <row r="28" spans="2:12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00"/>
      <c r="K28" s="412"/>
      <c r="L28" s="412"/>
    </row>
    <row r="29" spans="2:12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00"/>
      <c r="K29" s="412"/>
      <c r="L29" s="412"/>
    </row>
    <row r="30" spans="2:12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00"/>
      <c r="K30" s="412"/>
      <c r="L30" s="412"/>
    </row>
    <row r="31" spans="2:12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00"/>
      <c r="K31" s="412"/>
      <c r="L31" s="412"/>
    </row>
    <row r="32" spans="2:12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00"/>
      <c r="K32" s="412"/>
      <c r="L32" s="412"/>
    </row>
    <row r="33" spans="2:12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00"/>
      <c r="K33" s="412"/>
      <c r="L33" s="412"/>
    </row>
    <row r="34" spans="2:12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00"/>
      <c r="K34" s="412"/>
      <c r="L34" s="412"/>
    </row>
    <row r="35" spans="2:12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00"/>
      <c r="K35" s="412"/>
      <c r="L35" s="412"/>
    </row>
    <row r="36" spans="2:12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00"/>
      <c r="K36" s="412"/>
      <c r="L36" s="412"/>
    </row>
    <row r="37" spans="2:12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00"/>
      <c r="K37" s="412"/>
      <c r="L37" s="412"/>
    </row>
    <row r="38" spans="2:12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00"/>
      <c r="K38" s="412"/>
      <c r="L38" s="412"/>
    </row>
    <row r="39" spans="2:12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00"/>
      <c r="K39" s="412"/>
      <c r="L39" s="412"/>
    </row>
    <row r="40" spans="2:12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00"/>
      <c r="K40" s="412"/>
      <c r="L40" s="412"/>
    </row>
    <row r="41" spans="2:12" ht="26.25" customHeight="1" x14ac:dyDescent="0.2">
      <c r="B41" s="412"/>
      <c r="C41" s="412"/>
      <c r="D41" s="412"/>
      <c r="E41" s="412"/>
      <c r="F41" s="412"/>
      <c r="G41" s="412"/>
      <c r="H41" s="412"/>
      <c r="I41" s="412"/>
      <c r="J41" s="400"/>
      <c r="K41" s="412"/>
      <c r="L41" s="412"/>
    </row>
    <row r="42" spans="2:12" ht="15.95" customHeight="1" x14ac:dyDescent="0.2">
      <c r="B42" s="400"/>
      <c r="C42" s="543"/>
      <c r="D42" s="400"/>
      <c r="E42" s="400"/>
      <c r="F42" s="400"/>
      <c r="G42" s="400"/>
      <c r="H42" s="400"/>
      <c r="I42" s="400"/>
      <c r="J42" s="400"/>
      <c r="K42" s="400"/>
      <c r="L42" s="400"/>
    </row>
    <row r="43" spans="2:12" ht="20.100000000000001" customHeight="1" x14ac:dyDescent="0.2">
      <c r="B43" s="682" t="s">
        <v>225</v>
      </c>
      <c r="C43" s="682"/>
      <c r="D43" s="837" t="str">
        <f>IF(_Ped_Lab_Opm=0,"",_Ped_Lab_Opm)</f>
        <v/>
      </c>
      <c r="E43" s="838"/>
      <c r="F43" s="838"/>
      <c r="G43" s="838"/>
      <c r="H43" s="838"/>
      <c r="I43" s="838"/>
      <c r="J43" s="838"/>
      <c r="K43" s="838"/>
      <c r="L43" s="838"/>
    </row>
    <row r="44" spans="2:12" ht="20.100000000000001" customHeight="1" x14ac:dyDescent="0.2">
      <c r="B44" s="682"/>
      <c r="C44" s="682"/>
      <c r="D44" s="838"/>
      <c r="E44" s="838"/>
      <c r="F44" s="838"/>
      <c r="G44" s="838"/>
      <c r="H44" s="838"/>
      <c r="I44" s="838"/>
      <c r="J44" s="838"/>
      <c r="K44" s="838"/>
      <c r="L44" s="83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1" t="b">
        <v>0</v>
      </c>
      <c r="D4" s="109" t="str">
        <f>IF(E4,"A","")</f>
        <v/>
      </c>
      <c r="E4" s="341" t="b">
        <v>0</v>
      </c>
      <c r="F4" s="109" t="str">
        <f>IF(G4,"A","")</f>
        <v/>
      </c>
      <c r="G4" s="341" t="b">
        <v>0</v>
      </c>
      <c r="H4" s="109" t="str">
        <f>IF(I4,"A","")</f>
        <v/>
      </c>
      <c r="I4" s="341" t="b">
        <v>0</v>
      </c>
      <c r="K4" s="109" t="str">
        <f>IF(L4,"A","")</f>
        <v/>
      </c>
      <c r="L4" s="341" t="b">
        <v>0</v>
      </c>
      <c r="N4" s="235"/>
      <c r="P4" s="235"/>
    </row>
    <row r="5" spans="1:16" x14ac:dyDescent="0.2">
      <c r="B5" s="109" t="str">
        <f>IF(C5,"Na K","")</f>
        <v/>
      </c>
      <c r="C5" s="341" t="b">
        <v>0</v>
      </c>
      <c r="D5" s="109" t="str">
        <f>IF(E5,"Na K","")</f>
        <v/>
      </c>
      <c r="E5" s="341" t="b">
        <v>0</v>
      </c>
      <c r="F5" s="109" t="str">
        <f>IF(G5,"Na K","")</f>
        <v/>
      </c>
      <c r="G5" s="341" t="b">
        <v>0</v>
      </c>
      <c r="H5" s="109" t="str">
        <f>IF(I5,"Na K","")</f>
        <v/>
      </c>
      <c r="I5" s="341" t="b">
        <v>0</v>
      </c>
      <c r="K5" s="109" t="str">
        <f>IF(L5,"Na K","")</f>
        <v/>
      </c>
      <c r="L5" s="341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1" t="b">
        <v>0</v>
      </c>
      <c r="D6" s="109" t="str">
        <f>IF(E6,"Cl","")</f>
        <v/>
      </c>
      <c r="E6" s="341" t="b">
        <v>0</v>
      </c>
      <c r="F6" s="109" t="str">
        <f>IF(G6,"Cl","")</f>
        <v/>
      </c>
      <c r="G6" s="341" t="b">
        <v>0</v>
      </c>
      <c r="H6" s="109" t="str">
        <f>IF(I6,"Cl","")</f>
        <v/>
      </c>
      <c r="I6" s="341" t="b">
        <v>0</v>
      </c>
      <c r="K6" s="109" t="str">
        <f>IF(L6,"Cl","")</f>
        <v/>
      </c>
      <c r="L6" s="341" t="b">
        <v>0</v>
      </c>
      <c r="N6" s="235"/>
      <c r="P6" s="235"/>
    </row>
    <row r="7" spans="1:16" x14ac:dyDescent="0.2">
      <c r="B7" s="109" t="str">
        <f>IF(C7,"Gluc","")</f>
        <v/>
      </c>
      <c r="C7" s="341" t="b">
        <v>0</v>
      </c>
      <c r="D7" s="109" t="str">
        <f>IF(E7,"Gluc","")</f>
        <v/>
      </c>
      <c r="E7" s="341" t="b">
        <v>0</v>
      </c>
      <c r="F7" s="109" t="str">
        <f>IF(G7,"Gluc","")</f>
        <v/>
      </c>
      <c r="G7" s="341" t="b">
        <v>0</v>
      </c>
      <c r="H7" s="109" t="str">
        <f>IF(I7,"Gluc","")</f>
        <v/>
      </c>
      <c r="I7" s="341" t="b">
        <v>0</v>
      </c>
      <c r="K7" s="109" t="str">
        <f>IF(L7,"Gluc","")</f>
        <v/>
      </c>
      <c r="L7" s="341" t="b">
        <v>0</v>
      </c>
      <c r="N7" s="235"/>
      <c r="P7" s="235"/>
    </row>
    <row r="8" spans="1:16" x14ac:dyDescent="0.2">
      <c r="B8" s="109" t="str">
        <f>IF(C8,"Hb Ht","")</f>
        <v/>
      </c>
      <c r="C8" s="341" t="b">
        <v>0</v>
      </c>
      <c r="D8" s="109" t="str">
        <f>IF(E8,"Hb Ht","")</f>
        <v/>
      </c>
      <c r="E8" s="341" t="b">
        <v>0</v>
      </c>
      <c r="F8" s="109" t="str">
        <f>IF(G8,"Hb Ht","")</f>
        <v/>
      </c>
      <c r="G8" s="341" t="b">
        <v>0</v>
      </c>
      <c r="H8" s="109" t="str">
        <f>IF(I8,"Hb Ht","")</f>
        <v/>
      </c>
      <c r="I8" s="341" t="b">
        <v>0</v>
      </c>
      <c r="K8" s="109" t="str">
        <f>IF(L8,"Hb Ht","")</f>
        <v/>
      </c>
      <c r="L8" s="341" t="b">
        <v>0</v>
      </c>
      <c r="N8" s="235"/>
      <c r="P8" s="235"/>
    </row>
    <row r="9" spans="1:16" x14ac:dyDescent="0.2">
      <c r="B9" s="109" t="str">
        <f>IF(C9,"L","")</f>
        <v/>
      </c>
      <c r="C9" s="341" t="b">
        <v>0</v>
      </c>
      <c r="D9" s="109" t="str">
        <f>IF(E9,"L","")</f>
        <v/>
      </c>
      <c r="E9" s="341" t="b">
        <v>0</v>
      </c>
      <c r="F9" s="109" t="str">
        <f>IF(G9,"L","")</f>
        <v/>
      </c>
      <c r="G9" s="341" t="b">
        <v>0</v>
      </c>
      <c r="H9" s="109" t="str">
        <f>IF(I9,"L","")</f>
        <v/>
      </c>
      <c r="I9" s="341" t="b">
        <v>0</v>
      </c>
      <c r="K9" s="109" t="str">
        <f>IF(L9,"L","")</f>
        <v/>
      </c>
      <c r="L9" s="341" t="b">
        <v>0</v>
      </c>
      <c r="N9" s="235"/>
      <c r="P9" s="235"/>
    </row>
    <row r="10" spans="1:16" x14ac:dyDescent="0.2">
      <c r="B10" s="109" t="str">
        <f>IF(C10,"T","")</f>
        <v/>
      </c>
      <c r="C10" s="341" t="b">
        <v>0</v>
      </c>
      <c r="D10" s="109" t="str">
        <f>IF(E10,"T","")</f>
        <v/>
      </c>
      <c r="E10" s="341" t="b">
        <v>0</v>
      </c>
      <c r="F10" s="109" t="str">
        <f>IF(G10,"T","")</f>
        <v/>
      </c>
      <c r="G10" s="341" t="b">
        <v>0</v>
      </c>
      <c r="H10" s="109" t="str">
        <f>IF(I10,"T","")</f>
        <v/>
      </c>
      <c r="I10" s="341" t="b">
        <v>0</v>
      </c>
      <c r="K10" s="109" t="str">
        <f>IF(L10,"T","")</f>
        <v/>
      </c>
      <c r="L10" s="341" t="b">
        <v>0</v>
      </c>
      <c r="N10" s="235"/>
      <c r="P10" s="235"/>
    </row>
    <row r="11" spans="1:16" x14ac:dyDescent="0.2">
      <c r="B11" s="109" t="str">
        <f>IF(C11,"CRP","")</f>
        <v/>
      </c>
      <c r="C11" s="341" t="b">
        <v>0</v>
      </c>
      <c r="D11" s="109" t="str">
        <f>IF(E11,"CRP","")</f>
        <v/>
      </c>
      <c r="E11" s="341" t="b">
        <v>0</v>
      </c>
      <c r="F11" s="109" t="str">
        <f>IF(G11,"CRP","")</f>
        <v/>
      </c>
      <c r="G11" s="341" t="b">
        <v>0</v>
      </c>
      <c r="H11" s="109" t="str">
        <f>IF(I11,"CRP","")</f>
        <v/>
      </c>
      <c r="I11" s="341" t="b">
        <v>0</v>
      </c>
      <c r="K11" s="109" t="str">
        <f>IF(L11,"CRP","")</f>
        <v/>
      </c>
      <c r="L11" s="341" t="b">
        <v>0</v>
      </c>
      <c r="N11" s="235"/>
      <c r="P11" s="235"/>
    </row>
    <row r="12" spans="1:16" x14ac:dyDescent="0.2">
      <c r="B12" s="109" t="str">
        <f>IF(C12,"Lac","")</f>
        <v/>
      </c>
      <c r="C12" s="341" t="b">
        <v>0</v>
      </c>
      <c r="D12" s="109" t="str">
        <f>IF(E12,"Lac","")</f>
        <v/>
      </c>
      <c r="E12" s="341" t="b">
        <v>0</v>
      </c>
      <c r="F12" s="109" t="str">
        <f>IF(G12,"Lac","")</f>
        <v/>
      </c>
      <c r="G12" s="341" t="b">
        <v>0</v>
      </c>
      <c r="H12" s="109" t="str">
        <f>IF(I12,"Lac","")</f>
        <v/>
      </c>
      <c r="I12" s="341" t="b">
        <v>0</v>
      </c>
      <c r="K12" s="109" t="str">
        <f>IF(L12,"Lac","")</f>
        <v/>
      </c>
      <c r="L12" s="341" t="b">
        <v>0</v>
      </c>
      <c r="N12" s="235"/>
      <c r="P12" s="235"/>
    </row>
    <row r="13" spans="1:16" x14ac:dyDescent="0.2">
      <c r="B13" s="109" t="str">
        <f>IF(C13,"Ur","")</f>
        <v/>
      </c>
      <c r="C13" s="341" t="b">
        <v>0</v>
      </c>
      <c r="D13" s="109" t="str">
        <f>IF(E13,"Ur","")</f>
        <v/>
      </c>
      <c r="E13" s="341" t="b">
        <v>0</v>
      </c>
      <c r="F13" s="109" t="str">
        <f>IF(G13,"Ur","")</f>
        <v/>
      </c>
      <c r="G13" s="341" t="b">
        <v>0</v>
      </c>
      <c r="H13" s="109" t="str">
        <f>IF(I13,"Ur","")</f>
        <v/>
      </c>
      <c r="I13" s="341" t="b">
        <v>0</v>
      </c>
      <c r="K13" s="109" t="str">
        <f>IF(L13,"Ur","")</f>
        <v/>
      </c>
      <c r="L13" s="341" t="b">
        <v>0</v>
      </c>
      <c r="N13" s="235"/>
      <c r="P13" s="235"/>
    </row>
    <row r="14" spans="1:16" x14ac:dyDescent="0.2">
      <c r="B14" s="109" t="str">
        <f>IF(C14,"Kr","")</f>
        <v/>
      </c>
      <c r="C14" s="341" t="b">
        <v>0</v>
      </c>
      <c r="D14" s="109" t="str">
        <f>IF(E14,"Kr","")</f>
        <v/>
      </c>
      <c r="E14" s="341" t="b">
        <v>0</v>
      </c>
      <c r="F14" s="109" t="str">
        <f>IF(G14,"Kr","")</f>
        <v/>
      </c>
      <c r="G14" s="341" t="b">
        <v>0</v>
      </c>
      <c r="H14" s="109" t="str">
        <f>IF(I14,"Kr","")</f>
        <v/>
      </c>
      <c r="I14" s="341" t="b">
        <v>0</v>
      </c>
      <c r="K14" s="109" t="str">
        <f>IF(L14,"Kr","")</f>
        <v/>
      </c>
      <c r="L14" s="341" t="b">
        <v>0</v>
      </c>
      <c r="N14" s="235"/>
      <c r="P14" s="235"/>
    </row>
    <row r="15" spans="1:16" x14ac:dyDescent="0.2">
      <c r="B15" s="109" t="str">
        <f>IF(C15,"Ca++","")</f>
        <v/>
      </c>
      <c r="C15" s="341" t="b">
        <v>0</v>
      </c>
      <c r="D15" s="109" t="str">
        <f>IF(E15,"Ca++","")</f>
        <v/>
      </c>
      <c r="E15" s="341" t="b">
        <v>0</v>
      </c>
      <c r="F15" s="109" t="str">
        <f>IF(G15,"Ca++","")</f>
        <v/>
      </c>
      <c r="G15" s="341" t="b">
        <v>0</v>
      </c>
      <c r="H15" s="109" t="str">
        <f>IF(I15,"Ca++","")</f>
        <v/>
      </c>
      <c r="I15" s="341" t="b">
        <v>0</v>
      </c>
      <c r="K15" s="109" t="str">
        <f>IF(L15,"Ca++","")</f>
        <v/>
      </c>
      <c r="L15" s="341" t="b">
        <v>0</v>
      </c>
      <c r="N15" s="235"/>
      <c r="P15" s="235"/>
    </row>
    <row r="16" spans="1:16" x14ac:dyDescent="0.2">
      <c r="B16" s="109" t="str">
        <f>IF(C16,"Mg++","")</f>
        <v/>
      </c>
      <c r="C16" s="341" t="b">
        <v>0</v>
      </c>
      <c r="D16" s="109" t="str">
        <f>IF(E16,"Mg++","")</f>
        <v/>
      </c>
      <c r="E16" s="341" t="b">
        <v>0</v>
      </c>
      <c r="F16" s="109" t="str">
        <f>IF(G16,"Mg++","")</f>
        <v/>
      </c>
      <c r="G16" s="341" t="b">
        <v>0</v>
      </c>
      <c r="H16" s="109" t="str">
        <f>IF(I16,"Mg++","")</f>
        <v/>
      </c>
      <c r="I16" s="341" t="b">
        <v>0</v>
      </c>
      <c r="K16" s="109" t="str">
        <f>IF(L16,"Mg++","")</f>
        <v/>
      </c>
      <c r="L16" s="341" t="b">
        <v>0</v>
      </c>
      <c r="N16" s="235"/>
      <c r="P16" s="235"/>
    </row>
    <row r="17" spans="2:16" x14ac:dyDescent="0.2">
      <c r="B17" s="109" t="str">
        <f>IF(C17,"Fosfaat","")</f>
        <v/>
      </c>
      <c r="C17" s="341" t="b">
        <v>0</v>
      </c>
      <c r="D17" s="109" t="str">
        <f>IF(E17,"Fosfaat","")</f>
        <v/>
      </c>
      <c r="E17" s="341" t="b">
        <v>0</v>
      </c>
      <c r="F17" s="109" t="str">
        <f>IF(G17,"Fosfaat","")</f>
        <v/>
      </c>
      <c r="G17" s="341" t="b">
        <v>0</v>
      </c>
      <c r="H17" s="109" t="str">
        <f>IF(I17,"Fosfaat","")</f>
        <v/>
      </c>
      <c r="I17" s="341" t="b">
        <v>0</v>
      </c>
      <c r="K17" s="109" t="str">
        <f>IF(L17,"Fosfaat","")</f>
        <v/>
      </c>
      <c r="L17" s="341" t="b">
        <v>0</v>
      </c>
      <c r="N17" s="235"/>
      <c r="P17" s="235"/>
    </row>
    <row r="18" spans="2:16" x14ac:dyDescent="0.2">
      <c r="B18" s="109" t="str">
        <f>IF(C18,"Alb","")</f>
        <v/>
      </c>
      <c r="C18" s="341" t="b">
        <v>0</v>
      </c>
      <c r="D18" s="109" t="str">
        <f>IF(E18,"Alb","")</f>
        <v/>
      </c>
      <c r="E18" s="341" t="b">
        <v>0</v>
      </c>
      <c r="F18" s="109" t="str">
        <f>IF(G18,"Alb","")</f>
        <v/>
      </c>
      <c r="G18" s="341" t="b">
        <v>0</v>
      </c>
      <c r="H18" s="109" t="str">
        <f>IF(I18,"Alb","")</f>
        <v/>
      </c>
      <c r="I18" s="341" t="b">
        <v>0</v>
      </c>
      <c r="K18" s="109" t="str">
        <f>IF(L18,"Alb","")</f>
        <v/>
      </c>
      <c r="L18" s="341" t="b">
        <v>0</v>
      </c>
      <c r="N18" s="235"/>
      <c r="P18" s="235"/>
    </row>
    <row r="19" spans="2:16" x14ac:dyDescent="0.2">
      <c r="B19" s="109" t="str">
        <f>IF(C19,"Ca","")</f>
        <v/>
      </c>
      <c r="C19" s="341" t="b">
        <v>0</v>
      </c>
      <c r="D19" s="109" t="str">
        <f>IF(E19,"Ca","")</f>
        <v/>
      </c>
      <c r="E19" s="341" t="b">
        <v>0</v>
      </c>
      <c r="F19" s="109" t="str">
        <f>IF(G19,"Ca","")</f>
        <v/>
      </c>
      <c r="G19" s="341" t="b">
        <v>0</v>
      </c>
      <c r="H19" s="109" t="str">
        <f>IF(I19,"Ca","")</f>
        <v/>
      </c>
      <c r="I19" s="341" t="b">
        <v>0</v>
      </c>
      <c r="K19" s="109" t="str">
        <f>IF(L19,"Ca","")</f>
        <v/>
      </c>
      <c r="L19" s="341" t="b">
        <v>0</v>
      </c>
      <c r="N19" s="235"/>
      <c r="P19" s="235"/>
    </row>
    <row r="20" spans="2:16" x14ac:dyDescent="0.2">
      <c r="B20" s="109" t="str">
        <f>IF(C20,"ASAT","")</f>
        <v/>
      </c>
      <c r="C20" s="341" t="b">
        <v>0</v>
      </c>
      <c r="D20" s="109" t="str">
        <f>IF(E20,"ASAT","")</f>
        <v/>
      </c>
      <c r="E20" s="341" t="b">
        <v>0</v>
      </c>
      <c r="F20" s="109" t="str">
        <f>IF(G20,"ASAT","")</f>
        <v/>
      </c>
      <c r="G20" s="341" t="b">
        <v>0</v>
      </c>
      <c r="H20" s="109" t="str">
        <f>IF(I20,"ASAT","")</f>
        <v/>
      </c>
      <c r="I20" s="341" t="b">
        <v>0</v>
      </c>
      <c r="K20" s="109" t="str">
        <f>IF(L20,"ASAT","")</f>
        <v/>
      </c>
      <c r="L20" s="341" t="b">
        <v>0</v>
      </c>
      <c r="N20" s="235"/>
      <c r="P20" s="235"/>
    </row>
    <row r="21" spans="2:16" x14ac:dyDescent="0.2">
      <c r="B21" s="109" t="str">
        <f>IF(C21,"ALAT","")</f>
        <v/>
      </c>
      <c r="C21" s="341" t="b">
        <v>0</v>
      </c>
      <c r="D21" s="109" t="str">
        <f>IF(E21,"ALAT","")</f>
        <v/>
      </c>
      <c r="E21" s="341" t="b">
        <v>0</v>
      </c>
      <c r="F21" s="109" t="str">
        <f>IF(G21,"ALAT","")</f>
        <v/>
      </c>
      <c r="G21" s="341" t="b">
        <v>0</v>
      </c>
      <c r="H21" s="109" t="str">
        <f>IF(I21,"ALAT","")</f>
        <v/>
      </c>
      <c r="I21" s="341" t="b">
        <v>0</v>
      </c>
      <c r="K21" s="109" t="str">
        <f>IF(L21,"Alat","")</f>
        <v/>
      </c>
      <c r="L21" s="341" t="b">
        <v>0</v>
      </c>
      <c r="N21" s="235"/>
      <c r="P21" s="235"/>
    </row>
    <row r="22" spans="2:16" x14ac:dyDescent="0.2">
      <c r="B22" s="109" t="str">
        <f>IF(C22,"GGT","")</f>
        <v/>
      </c>
      <c r="C22" s="341" t="b">
        <v>0</v>
      </c>
      <c r="D22" s="109" t="str">
        <f>IF(E22,"GGT","")</f>
        <v/>
      </c>
      <c r="E22" s="341" t="b">
        <v>0</v>
      </c>
      <c r="F22" s="109" t="str">
        <f>IF(G22,"GGT","")</f>
        <v/>
      </c>
      <c r="G22" s="341" t="b">
        <v>0</v>
      </c>
      <c r="H22" s="109" t="str">
        <f>IF(I22,"GGT","")</f>
        <v/>
      </c>
      <c r="I22" s="341" t="b">
        <v>0</v>
      </c>
      <c r="K22" s="109" t="str">
        <f>IF(L22,"GGT","")</f>
        <v/>
      </c>
      <c r="L22" s="341" t="b">
        <v>0</v>
      </c>
      <c r="N22" s="235"/>
      <c r="P22" s="235"/>
    </row>
    <row r="23" spans="2:16" x14ac:dyDescent="0.2">
      <c r="B23" s="109" t="str">
        <f>IF(C23,"AF","")</f>
        <v/>
      </c>
      <c r="C23" s="341" t="b">
        <v>0</v>
      </c>
      <c r="D23" s="109" t="str">
        <f>IF(E23,"AF","")</f>
        <v/>
      </c>
      <c r="E23" s="341" t="b">
        <v>0</v>
      </c>
      <c r="F23" s="109" t="str">
        <f>IF(G23,"AF","")</f>
        <v/>
      </c>
      <c r="G23" s="341" t="b">
        <v>0</v>
      </c>
      <c r="H23" s="109" t="str">
        <f>IF(I23,"AF","")</f>
        <v/>
      </c>
      <c r="I23" s="341" t="b">
        <v>0</v>
      </c>
      <c r="K23" s="109" t="str">
        <f>IF(L23,"AF","")</f>
        <v/>
      </c>
      <c r="L23" s="341" t="b">
        <v>0</v>
      </c>
      <c r="N23" s="235"/>
      <c r="P23" s="235"/>
    </row>
    <row r="24" spans="2:16" x14ac:dyDescent="0.2">
      <c r="B24" s="109" t="str">
        <f>IF(C24,"LDH","")</f>
        <v/>
      </c>
      <c r="C24" s="341" t="b">
        <v>0</v>
      </c>
      <c r="D24" s="109" t="str">
        <f>IF(E24,"LDH","")</f>
        <v/>
      </c>
      <c r="E24" s="341" t="b">
        <v>0</v>
      </c>
      <c r="F24" s="109" t="str">
        <f>IF(G24,"LDH","")</f>
        <v/>
      </c>
      <c r="G24" s="341" t="b">
        <v>0</v>
      </c>
      <c r="H24" s="109" t="str">
        <f>IF(I24,"LDH","")</f>
        <v/>
      </c>
      <c r="I24" s="341" t="b">
        <v>0</v>
      </c>
      <c r="K24" s="109" t="str">
        <f>IF(L24,"LDH","")</f>
        <v/>
      </c>
      <c r="L24" s="341" t="b">
        <v>0</v>
      </c>
      <c r="N24" s="235"/>
      <c r="P24" s="235"/>
    </row>
    <row r="25" spans="2:16" x14ac:dyDescent="0.2">
      <c r="B25" s="109" t="str">
        <f>IF(C25,"Bili","")</f>
        <v/>
      </c>
      <c r="C25" s="341" t="b">
        <v>0</v>
      </c>
      <c r="D25" s="109" t="str">
        <f>IF(E25,"Bili","")</f>
        <v/>
      </c>
      <c r="E25" s="341" t="b">
        <v>0</v>
      </c>
      <c r="F25" s="109" t="str">
        <f>IF(G25,"Bili","")</f>
        <v/>
      </c>
      <c r="G25" s="341" t="b">
        <v>0</v>
      </c>
      <c r="H25" s="109" t="str">
        <f>IF(I25,"Bili","")</f>
        <v/>
      </c>
      <c r="I25" s="341" t="b">
        <v>0</v>
      </c>
      <c r="K25" s="109" t="str">
        <f>IF(L25,"Blil","")</f>
        <v/>
      </c>
      <c r="L25" s="341" t="b">
        <v>0</v>
      </c>
      <c r="N25" s="235"/>
      <c r="P25" s="235"/>
    </row>
    <row r="26" spans="2:16" x14ac:dyDescent="0.2">
      <c r="B26" s="109" t="str">
        <f>IF(C26,"CK","")</f>
        <v/>
      </c>
      <c r="C26" s="341" t="b">
        <v>0</v>
      </c>
      <c r="D26" s="109" t="str">
        <f>IF(E26,"CK","")</f>
        <v/>
      </c>
      <c r="E26" s="341" t="b">
        <v>0</v>
      </c>
      <c r="F26" s="109" t="str">
        <f>IF(G26,"CK","")</f>
        <v/>
      </c>
      <c r="G26" s="341" t="b">
        <v>0</v>
      </c>
      <c r="H26" s="109" t="str">
        <f>IF(I26,"CK","")</f>
        <v/>
      </c>
      <c r="I26" s="341" t="b">
        <v>0</v>
      </c>
      <c r="K26" s="109" t="str">
        <f>IF(L26,"CK","")</f>
        <v/>
      </c>
      <c r="L26" s="341" t="b">
        <v>0</v>
      </c>
      <c r="N26" s="235"/>
      <c r="P26" s="235"/>
    </row>
    <row r="27" spans="2:16" x14ac:dyDescent="0.2">
      <c r="B27" s="109" t="str">
        <f>IF(C27,"TG","")</f>
        <v/>
      </c>
      <c r="C27" s="341" t="b">
        <v>0</v>
      </c>
      <c r="D27" s="109" t="str">
        <f>IF(E27,"TG","")</f>
        <v/>
      </c>
      <c r="E27" s="341" t="b">
        <v>0</v>
      </c>
      <c r="F27" s="109" t="str">
        <f>IF(G27,"TG","")</f>
        <v/>
      </c>
      <c r="G27" s="341" t="b">
        <v>0</v>
      </c>
      <c r="H27" s="109" t="str">
        <f>IF(I27,"TG","")</f>
        <v/>
      </c>
      <c r="I27" s="341" t="b">
        <v>0</v>
      </c>
      <c r="K27" s="109" t="str">
        <f>IF(L27,"TG","")</f>
        <v/>
      </c>
      <c r="L27" s="341" t="b">
        <v>0</v>
      </c>
      <c r="N27" s="235"/>
      <c r="P27" s="235"/>
    </row>
    <row r="28" spans="2:16" x14ac:dyDescent="0.2">
      <c r="B28" s="109" t="str">
        <f>IF(C28,"BG","")</f>
        <v/>
      </c>
      <c r="C28" s="341" t="b">
        <v>0</v>
      </c>
      <c r="D28" s="109" t="str">
        <f>IF(E28,"BG","")</f>
        <v/>
      </c>
      <c r="E28" s="341" t="b">
        <v>0</v>
      </c>
      <c r="F28" s="109" t="str">
        <f>IF(G28,"BG","")</f>
        <v/>
      </c>
      <c r="G28" s="341" t="b">
        <v>0</v>
      </c>
      <c r="H28" s="109" t="str">
        <f>IF(I28,"BG","")</f>
        <v/>
      </c>
      <c r="I28" s="341" t="b">
        <v>0</v>
      </c>
      <c r="K28" s="109" t="str">
        <f>IF(L28,"BG","")</f>
        <v/>
      </c>
      <c r="L28" s="341" t="b">
        <v>0</v>
      </c>
      <c r="N28" s="235"/>
      <c r="P28" s="235"/>
    </row>
    <row r="29" spans="2:16" x14ac:dyDescent="0.2">
      <c r="B29" s="109" t="str">
        <f>IF(C29,"PT","")</f>
        <v/>
      </c>
      <c r="C29" s="341" t="b">
        <v>0</v>
      </c>
      <c r="D29" s="109" t="str">
        <f>IF(E29,"PT","")</f>
        <v/>
      </c>
      <c r="E29" s="341" t="b">
        <v>0</v>
      </c>
      <c r="F29" s="109" t="str">
        <f>IF(G29,"PT","")</f>
        <v/>
      </c>
      <c r="G29" s="341" t="b">
        <v>0</v>
      </c>
      <c r="H29" s="109" t="str">
        <f>IF(I29,"PT","")</f>
        <v/>
      </c>
      <c r="I29" s="341" t="b">
        <v>0</v>
      </c>
      <c r="K29" s="109" t="str">
        <f>IF(L29,"PT","")</f>
        <v/>
      </c>
      <c r="L29" s="341" t="b">
        <v>0</v>
      </c>
      <c r="N29" s="235"/>
      <c r="P29" s="235"/>
    </row>
    <row r="30" spans="2:16" x14ac:dyDescent="0.2">
      <c r="B30" s="109" t="str">
        <f>IF(C30,"APTT","")</f>
        <v/>
      </c>
      <c r="C30" s="341" t="b">
        <v>0</v>
      </c>
      <c r="D30" s="109" t="str">
        <f>IF(E30,"APTT","")</f>
        <v/>
      </c>
      <c r="E30" s="341" t="b">
        <v>0</v>
      </c>
      <c r="F30" s="109" t="str">
        <f>IF(G30,"APTT","")</f>
        <v/>
      </c>
      <c r="G30" s="341" t="b">
        <v>0</v>
      </c>
      <c r="H30" s="109" t="str">
        <f>IF(I30,"APTT","")</f>
        <v/>
      </c>
      <c r="I30" s="341" t="b">
        <v>0</v>
      </c>
      <c r="K30" s="109" t="str">
        <f>IF(L30,"APTT","")</f>
        <v/>
      </c>
      <c r="L30" s="341" t="b">
        <v>0</v>
      </c>
      <c r="N30" s="235"/>
      <c r="P30" s="235"/>
    </row>
    <row r="31" spans="2:16" x14ac:dyDescent="0.2">
      <c r="B31" s="109" t="str">
        <f>IF(C31,"d-dimeren","")</f>
        <v/>
      </c>
      <c r="C31" s="341" t="b">
        <v>0</v>
      </c>
      <c r="D31" s="109" t="str">
        <f>IF(E31,"d-dimeren","")</f>
        <v/>
      </c>
      <c r="E31" s="341" t="b">
        <v>0</v>
      </c>
      <c r="F31" s="109" t="str">
        <f>IF(G31,"d-dimeren","")</f>
        <v/>
      </c>
      <c r="G31" s="341" t="b">
        <v>0</v>
      </c>
      <c r="H31" s="109" t="str">
        <f>IF(I31,"d-dimeren","")</f>
        <v/>
      </c>
      <c r="I31" s="341" t="b">
        <v>0</v>
      </c>
      <c r="K31" s="109" t="str">
        <f>IF(L31,"d-dimeren","")</f>
        <v/>
      </c>
      <c r="L31" s="341" t="b">
        <v>0</v>
      </c>
      <c r="N31" s="235"/>
      <c r="P31" s="235"/>
    </row>
    <row r="32" spans="2:16" x14ac:dyDescent="0.2">
      <c r="B32" s="109" t="str">
        <f>IF(C32,"INR","")</f>
        <v/>
      </c>
      <c r="C32" s="341" t="b">
        <v>0</v>
      </c>
      <c r="D32" s="109" t="str">
        <f>IF(E32,"INR","")</f>
        <v/>
      </c>
      <c r="E32" s="341" t="b">
        <v>0</v>
      </c>
      <c r="F32" s="109" t="str">
        <f t="shared" ref="F32" si="0">IF(G32,"INR","")</f>
        <v/>
      </c>
      <c r="G32" s="341" t="b">
        <v>0</v>
      </c>
      <c r="H32" s="109" t="str">
        <f t="shared" ref="H32" si="1">IF(I32,"INR","")</f>
        <v/>
      </c>
      <c r="I32" s="341" t="b">
        <v>0</v>
      </c>
      <c r="K32" s="109" t="str">
        <f t="shared" ref="K32:K35" si="2">IF(L32,"INR","")</f>
        <v/>
      </c>
      <c r="L32" s="341" t="b">
        <v>0</v>
      </c>
      <c r="N32" s="235"/>
      <c r="P32" s="235"/>
    </row>
    <row r="33" spans="1:16" x14ac:dyDescent="0.2">
      <c r="B33" s="109" t="str">
        <f>IF(C33,"Hep-ratio","")</f>
        <v/>
      </c>
      <c r="C33" s="341" t="b">
        <v>0</v>
      </c>
      <c r="D33" s="109" t="str">
        <f>IF(E33,"Hep-ratio","")</f>
        <v/>
      </c>
      <c r="E33" s="341" t="b">
        <v>0</v>
      </c>
      <c r="F33" s="109" t="str">
        <f>IF(G33,"Hep-ratio","")</f>
        <v/>
      </c>
      <c r="G33" s="341" t="b">
        <v>0</v>
      </c>
      <c r="H33" s="109" t="str">
        <f>IF(I33,"Hep-ratio","")</f>
        <v/>
      </c>
      <c r="I33" s="341" t="b">
        <v>0</v>
      </c>
      <c r="K33" s="109" t="str">
        <f>IF(L33,"Hep-ratio","")</f>
        <v/>
      </c>
      <c r="L33" s="341" t="b">
        <v>0</v>
      </c>
      <c r="N33" s="235"/>
      <c r="P33" s="235"/>
    </row>
    <row r="34" spans="1:16" x14ac:dyDescent="0.2">
      <c r="B34" s="109" t="str">
        <f>IF(C34,"BNP","")</f>
        <v/>
      </c>
      <c r="C34" s="341" t="b">
        <v>0</v>
      </c>
      <c r="D34" s="109" t="str">
        <f>IF(E34,"BNP","")</f>
        <v/>
      </c>
      <c r="E34" s="341" t="b">
        <v>0</v>
      </c>
      <c r="F34" s="109" t="str">
        <f>IF(G34,"BNP","")</f>
        <v/>
      </c>
      <c r="G34" s="341" t="b">
        <v>0</v>
      </c>
      <c r="H34" s="109" t="str">
        <f>IF(I34,"BNP","")</f>
        <v/>
      </c>
      <c r="I34" s="341" t="b">
        <v>0</v>
      </c>
      <c r="K34" s="109" t="str">
        <f>IF(L34,"BNP","")</f>
        <v/>
      </c>
      <c r="L34" s="341" t="b">
        <v>0</v>
      </c>
      <c r="N34" s="235"/>
      <c r="P34" s="235"/>
    </row>
    <row r="35" spans="1:16" x14ac:dyDescent="0.2">
      <c r="B35" s="109" t="str">
        <f>IF(C35,"ACT","")</f>
        <v/>
      </c>
      <c r="C35" s="341" t="b">
        <v>0</v>
      </c>
      <c r="G35" s="342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19" t="str">
        <f>ConcatenateRange(D$4:D$34,  ", ")</f>
        <v/>
      </c>
    </row>
    <row r="41" spans="1:16" x14ac:dyDescent="0.2">
      <c r="A41" s="109" t="s">
        <v>359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9" customWidth="1"/>
    <col min="3" max="3" width="25" style="409" customWidth="1"/>
    <col min="4" max="4" width="16.28515625" style="409" customWidth="1"/>
    <col min="5" max="5" width="16.7109375" style="409" customWidth="1"/>
    <col min="6" max="6" width="15" style="409" bestFit="1" customWidth="1"/>
    <col min="7" max="7" width="21.85546875" style="409" bestFit="1" customWidth="1"/>
    <col min="8" max="8" width="23.5703125" style="409" customWidth="1"/>
    <col min="9" max="9" width="15.7109375" style="409" customWidth="1"/>
    <col min="10" max="10" width="27" style="409" customWidth="1"/>
    <col min="11" max="11" width="15.5703125" style="409" customWidth="1"/>
    <col min="12" max="12" width="13" style="409" customWidth="1"/>
    <col min="13" max="46" width="9.140625" style="409" customWidth="1"/>
    <col min="47" max="16384" width="9.140625" style="409"/>
  </cols>
  <sheetData>
    <row r="1" spans="2:18" s="407" customFormat="1" ht="17.25" customHeight="1" x14ac:dyDescent="0.2">
      <c r="B1" s="666"/>
      <c r="C1" s="667"/>
      <c r="D1" s="667"/>
      <c r="E1" s="667"/>
      <c r="F1" s="667"/>
      <c r="G1" s="667"/>
      <c r="H1" s="667"/>
      <c r="I1" s="667"/>
      <c r="J1" s="667"/>
    </row>
    <row r="2" spans="2:18" s="407" customFormat="1" ht="17.25" customHeight="1" x14ac:dyDescent="0.2">
      <c r="B2" s="667"/>
      <c r="C2" s="668" t="s">
        <v>235</v>
      </c>
      <c r="D2" s="669" t="str">
        <f ca="1">Txt_Pat_AfspraakDat</f>
        <v>24-sep-2017</v>
      </c>
      <c r="E2" s="668"/>
      <c r="F2" s="670"/>
      <c r="G2" s="668" t="s">
        <v>236</v>
      </c>
      <c r="H2" s="668" t="str">
        <f>Txt_Pat_OpnameDat</f>
        <v/>
      </c>
      <c r="I2" s="668" t="str">
        <f>Txt_Pat_Gewicht</f>
        <v>Gewicht:</v>
      </c>
      <c r="J2" s="668" t="str">
        <f>Txt_Pat_Bed</f>
        <v/>
      </c>
    </row>
    <row r="3" spans="2:18" s="407" customFormat="1" ht="17.25" customHeight="1" x14ac:dyDescent="0.2">
      <c r="B3" s="667"/>
      <c r="C3" s="668" t="s">
        <v>27</v>
      </c>
      <c r="D3" s="671" t="str">
        <f>Txt_Pat_FullName</f>
        <v/>
      </c>
      <c r="E3" s="668"/>
      <c r="F3" s="670"/>
      <c r="G3" s="668" t="s">
        <v>242</v>
      </c>
      <c r="H3" s="668" t="str">
        <f ca="1">Txt_Pat_GeboorteDat</f>
        <v/>
      </c>
      <c r="I3" s="668" t="str">
        <f>Txt_Pat_Lengte</f>
        <v>Lengte:</v>
      </c>
      <c r="J3" s="667"/>
    </row>
    <row r="4" spans="2:18" s="407" customFormat="1" ht="17.25" customHeight="1" x14ac:dyDescent="0.2">
      <c r="B4" s="667"/>
      <c r="C4" s="668" t="s">
        <v>3493</v>
      </c>
      <c r="D4" s="668" t="str">
        <f>Txt_Pat_PatNo</f>
        <v/>
      </c>
      <c r="E4" s="668"/>
      <c r="F4" s="672"/>
      <c r="G4" s="668" t="s">
        <v>213</v>
      </c>
      <c r="H4" s="668" t="str">
        <f ca="1">Txt_Pat_Leeftijd</f>
        <v/>
      </c>
      <c r="I4" s="668" t="str">
        <f>Txt_Pat_Oppervlak</f>
        <v>Lichamelijk oppervlak:</v>
      </c>
      <c r="J4" s="667"/>
    </row>
    <row r="6" spans="2:18" x14ac:dyDescent="0.2">
      <c r="B6" s="516"/>
      <c r="C6" s="703" t="s">
        <v>582</v>
      </c>
      <c r="D6" s="703"/>
      <c r="E6" s="703"/>
      <c r="F6" s="703"/>
      <c r="G6" s="703" t="s">
        <v>589</v>
      </c>
      <c r="H6" s="703"/>
      <c r="I6" s="703"/>
      <c r="J6" s="703"/>
      <c r="R6" s="407"/>
    </row>
    <row r="7" spans="2:18" ht="18" customHeight="1" x14ac:dyDescent="0.2">
      <c r="R7" s="407"/>
    </row>
    <row r="8" spans="2:18" ht="18" customHeight="1" thickBot="1" x14ac:dyDescent="0.25">
      <c r="D8" s="510" t="str">
        <f>IF(PedBerAfspr!C7=0,"",PedBerAfspr!C7)</f>
        <v/>
      </c>
      <c r="R8" s="407"/>
    </row>
    <row r="9" spans="2:18" ht="18" customHeight="1" thickTop="1" thickBot="1" x14ac:dyDescent="0.25">
      <c r="D9" s="508" t="str">
        <f>IF(PedBerAfspr!C8=0,"",PedBerAfspr!C8)</f>
        <v/>
      </c>
      <c r="H9" s="507" t="str">
        <f>CONCATENATE("à ",PedBerAfspr!G16," uur")</f>
        <v>à 0 uur</v>
      </c>
      <c r="I9" s="517"/>
    </row>
    <row r="10" spans="2:18" ht="18" customHeight="1" thickTop="1" thickBot="1" x14ac:dyDescent="0.25">
      <c r="D10" s="508" t="str">
        <f>IF(PedBerAfspr!C9=0,"",PedBerAfspr!C9)</f>
        <v/>
      </c>
      <c r="H10" s="479" t="str">
        <f>CONCATENATE("à ",PedBerAfspr!G18," uur")</f>
        <v>à 0 uur</v>
      </c>
      <c r="I10" s="685" t="s">
        <v>806</v>
      </c>
      <c r="J10" s="544" t="str">
        <f>IF(_Ped_AfsprD_Verliezen=0,"",_Ped_AfsprD_Verliezen)</f>
        <v/>
      </c>
      <c r="K10" s="408"/>
      <c r="L10" s="408"/>
    </row>
    <row r="11" spans="2:18" ht="18" customHeight="1" thickTop="1" thickBot="1" x14ac:dyDescent="0.25">
      <c r="D11" s="529" t="str">
        <f>CONCATENATE(PedBerAfspr!$B$12," dd")</f>
        <v>0 dd</v>
      </c>
      <c r="J11" s="408"/>
      <c r="K11" s="408"/>
      <c r="L11" s="408"/>
    </row>
    <row r="12" spans="2:18" ht="18" customHeight="1" thickTop="1" x14ac:dyDescent="0.2">
      <c r="J12" s="408"/>
      <c r="K12" s="408"/>
      <c r="L12" s="408"/>
    </row>
    <row r="13" spans="2:18" ht="18" customHeight="1" x14ac:dyDescent="0.2">
      <c r="J13" s="519"/>
      <c r="N13" s="407"/>
    </row>
    <row r="14" spans="2:18" ht="18" customHeight="1" x14ac:dyDescent="0.2">
      <c r="N14" s="407"/>
    </row>
    <row r="15" spans="2:18" ht="18" customHeight="1" x14ac:dyDescent="0.2"/>
    <row r="16" spans="2:18" ht="18" customHeight="1" x14ac:dyDescent="0.2">
      <c r="N16" s="407"/>
    </row>
    <row r="17" spans="2:15" ht="18" customHeight="1" x14ac:dyDescent="0.2">
      <c r="G17" s="686" t="s">
        <v>726</v>
      </c>
      <c r="H17" s="686"/>
      <c r="I17" s="686"/>
      <c r="J17" s="686"/>
      <c r="N17" s="407"/>
    </row>
    <row r="18" spans="2:15" ht="18" customHeight="1" thickBot="1" x14ac:dyDescent="0.25">
      <c r="D18" s="518" t="str">
        <f>CONCATENATE(PedBerAfspr!$C$42," dd")</f>
        <v>0 dd</v>
      </c>
      <c r="G18" s="839" t="str">
        <f>IF(_Ped_AfsprOverig=0,"",_Ped_AfsprOverig)</f>
        <v/>
      </c>
      <c r="H18" s="840"/>
      <c r="I18" s="840"/>
      <c r="J18" s="840"/>
      <c r="L18" s="407"/>
      <c r="N18" s="407"/>
      <c r="O18" s="407"/>
    </row>
    <row r="19" spans="2:15" ht="18" customHeight="1" thickTop="1" thickBot="1" x14ac:dyDescent="0.25">
      <c r="D19" s="529" t="str">
        <f>CONCATENATE(PedBerAfspr!$C$43," dd")</f>
        <v>0 dd</v>
      </c>
      <c r="G19" s="840"/>
      <c r="H19" s="840"/>
      <c r="I19" s="840"/>
      <c r="J19" s="840"/>
      <c r="O19" s="407"/>
    </row>
    <row r="20" spans="2:15" ht="18" customHeight="1" thickTop="1" x14ac:dyDescent="0.2">
      <c r="G20" s="840"/>
      <c r="H20" s="840"/>
      <c r="I20" s="840"/>
      <c r="J20" s="840"/>
      <c r="L20" s="407"/>
      <c r="N20" s="407"/>
      <c r="O20" s="407"/>
    </row>
    <row r="21" spans="2:15" ht="18" customHeight="1" x14ac:dyDescent="0.2">
      <c r="H21" s="520"/>
      <c r="I21" s="521"/>
      <c r="N21" s="407"/>
      <c r="O21" s="407"/>
    </row>
    <row r="22" spans="2:15" ht="18" customHeight="1" x14ac:dyDescent="0.2">
      <c r="C22" s="703" t="s">
        <v>588</v>
      </c>
      <c r="D22" s="703"/>
      <c r="E22" s="703"/>
      <c r="F22" s="703"/>
      <c r="G22" s="703"/>
      <c r="H22" s="704"/>
      <c r="I22" s="705"/>
      <c r="J22" s="703"/>
      <c r="N22" s="407"/>
    </row>
    <row r="23" spans="2:15" ht="18" customHeight="1" x14ac:dyDescent="0.2">
      <c r="H23" s="520"/>
      <c r="I23" s="521"/>
      <c r="N23" s="40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03" t="s">
        <v>782</v>
      </c>
      <c r="D28" s="703"/>
      <c r="E28" s="703"/>
      <c r="F28" s="703"/>
      <c r="G28" s="703"/>
      <c r="H28" s="703"/>
      <c r="I28" s="703"/>
      <c r="J28" s="703"/>
    </row>
    <row r="29" spans="2:15" ht="18" customHeight="1" x14ac:dyDescent="0.2">
      <c r="B29" s="517"/>
    </row>
    <row r="30" spans="2:15" ht="18" customHeight="1" x14ac:dyDescent="0.2">
      <c r="B30" s="517"/>
    </row>
    <row r="31" spans="2:15" ht="18" customHeight="1" x14ac:dyDescent="0.2">
      <c r="B31" s="517"/>
      <c r="N31" s="407"/>
    </row>
    <row r="32" spans="2:15" ht="18" customHeight="1" x14ac:dyDescent="0.2">
      <c r="B32" s="517"/>
      <c r="C32" s="522"/>
      <c r="D32" s="522"/>
      <c r="E32" s="517"/>
      <c r="F32" s="517"/>
      <c r="N32" s="407"/>
    </row>
    <row r="33" spans="3:14" ht="18" customHeight="1" x14ac:dyDescent="0.2">
      <c r="C33" s="522"/>
      <c r="D33" s="522"/>
      <c r="E33" s="517"/>
      <c r="F33" s="517"/>
      <c r="N33" s="407"/>
    </row>
    <row r="34" spans="3:14" ht="18" customHeight="1" x14ac:dyDescent="0.2">
      <c r="C34" s="522"/>
      <c r="D34" s="522"/>
      <c r="E34" s="517"/>
      <c r="F34" s="517"/>
      <c r="N34" s="407"/>
    </row>
    <row r="35" spans="3:14" ht="18" customHeight="1" x14ac:dyDescent="0.2">
      <c r="C35" s="522"/>
      <c r="D35" s="522"/>
      <c r="E35" s="780">
        <f>PedBerAfspr!D40</f>
        <v>0</v>
      </c>
      <c r="F35" s="522" t="s">
        <v>784</v>
      </c>
      <c r="G35" s="407"/>
      <c r="N35" s="407"/>
    </row>
    <row r="36" spans="3:14" ht="18" customHeight="1" x14ac:dyDescent="0.2">
      <c r="N36" s="407"/>
    </row>
    <row r="37" spans="3:14" ht="18" customHeight="1" x14ac:dyDescent="0.2">
      <c r="C37" s="715" t="s">
        <v>555</v>
      </c>
      <c r="D37" s="715"/>
      <c r="E37" s="715"/>
      <c r="F37" s="715"/>
      <c r="G37" s="715"/>
      <c r="H37" s="715"/>
      <c r="I37" s="715"/>
      <c r="J37" s="715"/>
      <c r="N37" s="407"/>
    </row>
    <row r="38" spans="3:14" ht="18" customHeight="1" x14ac:dyDescent="0.2">
      <c r="C38" s="715" t="s">
        <v>582</v>
      </c>
      <c r="D38" s="715" t="str">
        <f>IFERROR(LEFT(Txt_Ped_Afspr_Controles,LEN(Txt_Ped_Afspr_Controles)-3),"")</f>
        <v/>
      </c>
      <c r="E38" s="715"/>
      <c r="F38" s="715"/>
      <c r="G38" s="715"/>
      <c r="H38" s="715"/>
      <c r="I38" s="715"/>
      <c r="J38" s="715"/>
      <c r="N38" s="407"/>
    </row>
    <row r="39" spans="3:14" ht="18" customHeight="1" x14ac:dyDescent="0.2">
      <c r="C39" s="715" t="s">
        <v>588</v>
      </c>
      <c r="D39" s="715" t="str">
        <f>IFERROR(LEFT(Txt_Ped_Afspr_Onderzoeken,LEN(Txt_Ped_Afspr_Onderzoeken)-3),"")</f>
        <v/>
      </c>
      <c r="E39" s="715"/>
      <c r="F39" s="715"/>
      <c r="G39" s="715"/>
      <c r="H39" s="715"/>
      <c r="I39" s="715"/>
      <c r="J39" s="715"/>
    </row>
    <row r="40" spans="3:14" ht="18" customHeight="1" x14ac:dyDescent="0.2">
      <c r="C40" s="715" t="s">
        <v>782</v>
      </c>
      <c r="D40" s="715" t="str">
        <f>IFERROR(LEFT(Txt_Ped_Afspr_Instellingen,LEN(Txt_Ped_Afspr_Instellingen)-3),"")</f>
        <v/>
      </c>
      <c r="E40" s="715"/>
      <c r="F40" s="715"/>
      <c r="G40" s="715"/>
      <c r="H40" s="715"/>
      <c r="I40" s="715"/>
      <c r="J40" s="715"/>
      <c r="N40" s="407"/>
    </row>
    <row r="41" spans="3:14" ht="18" customHeight="1" x14ac:dyDescent="0.2">
      <c r="C41" s="715" t="s">
        <v>568</v>
      </c>
      <c r="D41" s="715" t="str">
        <f>IFERROR(LEFT(Txt_Ped_Afspr_Overig,LEN(Txt_Ped_Afspr_Overig)-3),"")</f>
        <v/>
      </c>
      <c r="E41" s="715"/>
      <c r="F41" s="715"/>
      <c r="G41" s="715"/>
      <c r="H41" s="715"/>
      <c r="I41" s="715"/>
      <c r="J41" s="715"/>
      <c r="N41" s="407"/>
    </row>
    <row r="42" spans="3:14" ht="18" customHeight="1" x14ac:dyDescent="0.2">
      <c r="N42" s="407"/>
    </row>
    <row r="43" spans="3:14" ht="18" customHeight="1" x14ac:dyDescent="0.2">
      <c r="N43" s="407"/>
    </row>
    <row r="44" spans="3:14" ht="18" customHeight="1" x14ac:dyDescent="0.2">
      <c r="N44" s="407"/>
    </row>
    <row r="45" spans="3:14" ht="18" customHeight="1" x14ac:dyDescent="0.2"/>
    <row r="46" spans="3:14" ht="18" customHeight="1" x14ac:dyDescent="0.2"/>
    <row r="47" spans="3:14" ht="18" customHeight="1" x14ac:dyDescent="0.2">
      <c r="N47" s="523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7"/>
    <col min="2" max="2" width="10.28515625" style="380" customWidth="1"/>
    <col min="3" max="3" width="19.7109375" style="357" customWidth="1"/>
    <col min="4" max="4" width="24.5703125" style="357" customWidth="1"/>
    <col min="5" max="5" width="17.7109375" style="357" customWidth="1"/>
    <col min="6" max="7" width="18.7109375" style="357" customWidth="1"/>
    <col min="8" max="11" width="9.140625" style="357"/>
    <col min="12" max="21" width="0" style="357" hidden="1" customWidth="1"/>
    <col min="22" max="16384" width="9.140625" style="357"/>
  </cols>
  <sheetData>
    <row r="1" spans="1:25 4305:4305" x14ac:dyDescent="0.2">
      <c r="A1" s="356"/>
      <c r="J1" s="511"/>
      <c r="K1" s="511"/>
      <c r="L1" s="512" t="s">
        <v>602</v>
      </c>
      <c r="M1" s="512" t="s">
        <v>610</v>
      </c>
      <c r="N1" s="512" t="s">
        <v>603</v>
      </c>
      <c r="O1" s="512"/>
      <c r="P1" s="512"/>
      <c r="Q1" s="512"/>
      <c r="R1" s="512"/>
      <c r="S1" s="512" t="s">
        <v>611</v>
      </c>
      <c r="T1" s="512" t="s">
        <v>612</v>
      </c>
      <c r="U1" s="512"/>
      <c r="V1" s="512"/>
      <c r="W1" s="512"/>
      <c r="X1" s="512"/>
      <c r="Y1" s="511"/>
    </row>
    <row r="2" spans="1:25 4305:4305" ht="15" customHeight="1" x14ac:dyDescent="0.2">
      <c r="B2" s="779" t="str">
        <f>"Patient: "&amp;__2_AchterNaam&amp;", "&amp;__3_VoorNaam</f>
        <v xml:space="preserve">Patient: , </v>
      </c>
      <c r="C2" s="779"/>
      <c r="D2" s="779"/>
      <c r="E2" s="779" t="str">
        <f ca="1">"Geschatte lengte: "&amp;VLOOKUP(C5+D5/12,PedTblLengte!A2:D45,4)&amp;" cm"</f>
        <v>Geschatte lengte: 175,15 cm</v>
      </c>
      <c r="F2" s="779"/>
      <c r="G2" s="779"/>
      <c r="J2" s="511"/>
      <c r="K2" s="511"/>
      <c r="L2" s="512">
        <v>0</v>
      </c>
      <c r="M2" s="512">
        <v>40</v>
      </c>
      <c r="N2" s="512">
        <v>3.5</v>
      </c>
      <c r="O2" s="512">
        <v>0</v>
      </c>
      <c r="P2" s="512">
        <v>3.5</v>
      </c>
      <c r="Q2" s="512">
        <v>51</v>
      </c>
      <c r="R2" s="512"/>
      <c r="S2" s="512">
        <v>1</v>
      </c>
      <c r="T2" s="512">
        <v>1</v>
      </c>
      <c r="U2" s="512">
        <v>1</v>
      </c>
      <c r="V2" s="512"/>
      <c r="W2" s="512"/>
      <c r="X2" s="512"/>
      <c r="Y2" s="511"/>
      <c r="FIO2" s="357">
        <v>30</v>
      </c>
    </row>
    <row r="3" spans="1:25 4305:4305" ht="15" customHeight="1" x14ac:dyDescent="0.2">
      <c r="B3" s="779" t="str">
        <f>"Geb datum.: "</f>
        <v xml:space="preserve">Geb datum.: </v>
      </c>
      <c r="C3" s="663">
        <f>__4_GebDatum</f>
        <v>1462</v>
      </c>
      <c r="D3" s="779"/>
      <c r="E3" s="779" t="str">
        <f ca="1">"Geschat gewicht: "&amp;VLOOKUP(C5+D5/12,PedTblGew!A2:T49,20)&amp;" kg"</f>
        <v>Geschat gewicht: 66,1 kg</v>
      </c>
      <c r="F3" s="664"/>
      <c r="G3" s="779"/>
      <c r="J3" s="511"/>
      <c r="K3" s="511"/>
      <c r="L3" s="512">
        <v>1</v>
      </c>
      <c r="M3" s="512">
        <v>30</v>
      </c>
      <c r="N3" s="512">
        <v>4.5</v>
      </c>
      <c r="O3" s="512">
        <v>1</v>
      </c>
      <c r="P3" s="512">
        <v>4.2</v>
      </c>
      <c r="Q3" s="512">
        <v>54</v>
      </c>
      <c r="R3" s="512"/>
      <c r="S3" s="512">
        <v>2</v>
      </c>
      <c r="T3" s="512">
        <v>2</v>
      </c>
      <c r="U3" s="512">
        <v>2</v>
      </c>
      <c r="V3" s="512"/>
      <c r="W3" s="512"/>
      <c r="X3" s="512"/>
      <c r="Y3" s="511"/>
    </row>
    <row r="4" spans="1:25 4305:4305" ht="15.75" customHeight="1" x14ac:dyDescent="0.2">
      <c r="B4" s="644"/>
      <c r="C4" s="665" t="s">
        <v>334</v>
      </c>
      <c r="D4" s="665" t="s">
        <v>335</v>
      </c>
      <c r="E4" s="665" t="s">
        <v>212</v>
      </c>
      <c r="F4" s="665" t="s">
        <v>96</v>
      </c>
      <c r="G4" s="665" t="s">
        <v>44</v>
      </c>
      <c r="J4" s="513"/>
      <c r="K4" s="513"/>
      <c r="L4" s="512">
        <v>2</v>
      </c>
      <c r="M4" s="512">
        <v>25</v>
      </c>
      <c r="N4" s="512">
        <v>4.5</v>
      </c>
      <c r="O4" s="512">
        <v>2</v>
      </c>
      <c r="P4" s="512">
        <v>5</v>
      </c>
      <c r="Q4" s="512">
        <v>57</v>
      </c>
      <c r="R4" s="512"/>
      <c r="S4" s="512">
        <v>3</v>
      </c>
      <c r="T4" s="512">
        <v>3</v>
      </c>
      <c r="U4" s="512">
        <v>3</v>
      </c>
      <c r="V4" s="512"/>
      <c r="W4" s="512"/>
      <c r="X4" s="512"/>
      <c r="Y4" s="511"/>
    </row>
    <row r="5" spans="1:25 4305:4305" ht="15" customHeight="1" x14ac:dyDescent="0.2">
      <c r="B5" s="644"/>
      <c r="C5" s="665">
        <f ca="1">TRUNC((Var_AfspraakDatum-__4_GebDatum)/365,0)</f>
        <v>113</v>
      </c>
      <c r="D5" s="665">
        <f ca="1">TRUNC(((Var_AfspraakDatum-__4_GebDatum)-365*TRUNC((Var_AfspraakDatum-__4_GebDatum)/365,0))/30,0)</f>
        <v>9</v>
      </c>
      <c r="E5" s="665">
        <f>_Pat_Gewicht/10</f>
        <v>0</v>
      </c>
      <c r="F5" s="665">
        <f>_Pat_Lengte</f>
        <v>0</v>
      </c>
      <c r="G5" s="665">
        <f>ROUND(POWER(E5,0.425)*POWER(((F5/100)*100),0.725)*0.007184,2)</f>
        <v>0</v>
      </c>
      <c r="J5" s="513"/>
      <c r="K5" s="513"/>
      <c r="L5" s="512">
        <v>3</v>
      </c>
      <c r="M5" s="512">
        <v>25</v>
      </c>
      <c r="N5" s="512">
        <v>5</v>
      </c>
      <c r="O5" s="512">
        <v>3</v>
      </c>
      <c r="P5" s="512">
        <v>5.7</v>
      </c>
      <c r="Q5" s="512">
        <v>60</v>
      </c>
      <c r="R5" s="512"/>
      <c r="S5" s="512">
        <v>4</v>
      </c>
      <c r="T5" s="512">
        <v>3</v>
      </c>
      <c r="U5" s="512"/>
      <c r="V5" s="512"/>
      <c r="W5" s="512"/>
      <c r="X5" s="512"/>
      <c r="Y5" s="511"/>
    </row>
    <row r="6" spans="1:25 4305:4305" ht="15" customHeight="1" x14ac:dyDescent="0.2">
      <c r="A6" s="356"/>
      <c r="C6" s="401"/>
      <c r="D6" s="401"/>
      <c r="E6" s="401"/>
      <c r="F6" s="401"/>
      <c r="G6" s="401"/>
      <c r="J6" s="513"/>
      <c r="K6" s="513"/>
      <c r="L6" s="512">
        <v>4</v>
      </c>
      <c r="M6" s="512">
        <v>25</v>
      </c>
      <c r="N6" s="512">
        <v>5</v>
      </c>
      <c r="O6" s="512">
        <v>4</v>
      </c>
      <c r="P6" s="512">
        <v>6.5</v>
      </c>
      <c r="Q6" s="512">
        <v>63</v>
      </c>
      <c r="R6" s="512"/>
      <c r="S6" s="512">
        <v>5</v>
      </c>
      <c r="T6" s="512">
        <v>5</v>
      </c>
      <c r="U6" s="512">
        <v>5</v>
      </c>
      <c r="V6" s="512"/>
      <c r="W6" s="512"/>
      <c r="X6" s="512"/>
      <c r="Y6" s="511"/>
    </row>
    <row r="7" spans="1:25 4305:4305" ht="20.100000000000001" customHeight="1" thickBot="1" x14ac:dyDescent="0.25">
      <c r="B7" s="687" t="s">
        <v>244</v>
      </c>
      <c r="C7" s="676" t="s">
        <v>45</v>
      </c>
      <c r="D7" s="506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06"/>
      <c r="F7" s="506"/>
      <c r="G7" s="514"/>
      <c r="J7" s="511"/>
      <c r="K7" s="511"/>
      <c r="L7" s="512">
        <v>5</v>
      </c>
      <c r="M7" s="512">
        <v>25</v>
      </c>
      <c r="N7" s="512">
        <v>5.5</v>
      </c>
      <c r="O7" s="512">
        <v>5</v>
      </c>
      <c r="P7" s="512">
        <v>7</v>
      </c>
      <c r="Q7" s="512">
        <v>65</v>
      </c>
      <c r="R7" s="512"/>
      <c r="S7" s="512">
        <v>6</v>
      </c>
      <c r="T7" s="512">
        <v>5</v>
      </c>
      <c r="U7" s="512"/>
      <c r="V7" s="512"/>
      <c r="W7" s="512"/>
      <c r="X7" s="512"/>
      <c r="Y7" s="511"/>
    </row>
    <row r="8" spans="1:25 4305:4305" ht="20.100000000000001" customHeight="1" thickTop="1" thickBot="1" x14ac:dyDescent="0.25">
      <c r="B8" s="687"/>
      <c r="C8" s="676" t="s">
        <v>46</v>
      </c>
      <c r="D8" s="495" t="str">
        <f>IF(_Pat_Gewicht&gt;0,IF(ROUND((E5)*4,0)&gt;150,150,VLOOKUP(ROUND(E5*4,0),S2:T362,2))&amp;" Joules Asynchroon","")</f>
        <v/>
      </c>
      <c r="E8" s="495"/>
      <c r="F8" s="495"/>
      <c r="G8" s="526" t="s">
        <v>0</v>
      </c>
      <c r="J8" s="511"/>
      <c r="K8" s="511"/>
      <c r="L8" s="512">
        <v>6</v>
      </c>
      <c r="M8" s="512">
        <v>20</v>
      </c>
      <c r="N8" s="512">
        <v>5.5</v>
      </c>
      <c r="O8" s="512">
        <v>6</v>
      </c>
      <c r="P8" s="512">
        <v>7.7</v>
      </c>
      <c r="Q8" s="512">
        <v>67</v>
      </c>
      <c r="R8" s="512"/>
      <c r="S8" s="512">
        <v>7</v>
      </c>
      <c r="T8" s="512">
        <v>7</v>
      </c>
      <c r="U8" s="512">
        <v>7</v>
      </c>
      <c r="V8" s="512"/>
      <c r="W8" s="512"/>
      <c r="X8" s="512"/>
      <c r="Y8" s="511"/>
    </row>
    <row r="9" spans="1:25 4305:4305" ht="20.100000000000001" customHeight="1" thickTop="1" thickBot="1" x14ac:dyDescent="0.25">
      <c r="B9" s="687"/>
      <c r="C9" s="676" t="s">
        <v>92</v>
      </c>
      <c r="D9" s="495" t="str">
        <f ca="1">IF(OR(ROUND(0.01*(E5),2)&gt;1,C5&gt;=18),"1 mg iv",ROUND(0.01*(E5),2)&amp;" mg iv")</f>
        <v>1 mg iv</v>
      </c>
      <c r="E9" s="495" t="str">
        <f>"= "&amp;IF(ROUND(0.01*(E5),2)&gt;1,"1 ml van 1mg = 10 ml (1:10.000)",ROUND(0.1*(E5),1)&amp;" ml van 1mg = 10 ml (1:10.000)")</f>
        <v>= 0 ml van 1mg = 10 ml (1:10.000)</v>
      </c>
      <c r="F9" s="495"/>
      <c r="G9" s="526" t="s">
        <v>1</v>
      </c>
      <c r="J9" s="511"/>
      <c r="K9" s="511"/>
      <c r="L9" s="512">
        <v>7</v>
      </c>
      <c r="M9" s="512">
        <v>20</v>
      </c>
      <c r="N9" s="512">
        <v>6</v>
      </c>
      <c r="O9" s="512">
        <v>7</v>
      </c>
      <c r="P9" s="512">
        <v>8.1999999999999993</v>
      </c>
      <c r="Q9" s="512">
        <v>69</v>
      </c>
      <c r="R9" s="512"/>
      <c r="S9" s="512">
        <v>8</v>
      </c>
      <c r="T9" s="512">
        <v>7</v>
      </c>
      <c r="U9" s="512"/>
      <c r="V9" s="512"/>
      <c r="W9" s="512"/>
      <c r="X9" s="512"/>
      <c r="Y9" s="511"/>
    </row>
    <row r="10" spans="1:25 4305:4305" ht="20.100000000000001" customHeight="1" thickTop="1" thickBot="1" x14ac:dyDescent="0.25">
      <c r="B10" s="687"/>
      <c r="C10" s="676" t="s">
        <v>47</v>
      </c>
      <c r="D10" s="495" t="str">
        <f>ROUND(IF(E5&gt;50,50,0.5*E5),0)&amp;" ml iv"</f>
        <v>0 ml iv</v>
      </c>
      <c r="E10" s="495"/>
      <c r="F10" s="495"/>
      <c r="G10" s="526" t="s">
        <v>2</v>
      </c>
      <c r="J10" s="511"/>
      <c r="K10" s="511"/>
      <c r="L10" s="512">
        <v>8</v>
      </c>
      <c r="M10" s="512">
        <v>20</v>
      </c>
      <c r="N10" s="512">
        <v>6</v>
      </c>
      <c r="O10" s="512">
        <v>8</v>
      </c>
      <c r="P10" s="512">
        <v>8.5</v>
      </c>
      <c r="Q10" s="512">
        <v>70</v>
      </c>
      <c r="R10" s="512"/>
      <c r="S10" s="512">
        <v>9</v>
      </c>
      <c r="T10" s="512">
        <v>7</v>
      </c>
      <c r="U10" s="512"/>
      <c r="V10" s="512"/>
      <c r="W10" s="512"/>
      <c r="X10" s="512"/>
      <c r="Y10" s="511"/>
    </row>
    <row r="11" spans="1:25 4305:4305" ht="20.100000000000001" customHeight="1" thickTop="1" thickBot="1" x14ac:dyDescent="0.25">
      <c r="B11" s="687"/>
      <c r="C11" s="676" t="s">
        <v>143</v>
      </c>
      <c r="D11" s="495" t="str">
        <f>IF(0.2*E5&lt;=25,0.2*E5&amp;" gram iv","25 gram iv")</f>
        <v>0 gram iv</v>
      </c>
      <c r="E11" s="495" t="str">
        <f>"="&amp;" "&amp;IF(2*E5&lt;=250,ROUND(2*E5,0)&amp;" ml glucose 10%","250 ml glucose 10%")</f>
        <v>= 0 ml glucose 10%</v>
      </c>
      <c r="F11" s="495"/>
      <c r="G11" s="526" t="s">
        <v>3</v>
      </c>
      <c r="J11" s="511"/>
      <c r="K11" s="511"/>
      <c r="L11" s="512">
        <v>9</v>
      </c>
      <c r="M11" s="512">
        <v>20</v>
      </c>
      <c r="N11" s="512">
        <v>6.5</v>
      </c>
      <c r="O11" s="512">
        <v>9</v>
      </c>
      <c r="P11" s="512">
        <v>9</v>
      </c>
      <c r="Q11" s="512">
        <v>72</v>
      </c>
      <c r="R11" s="512"/>
      <c r="S11" s="512">
        <v>10</v>
      </c>
      <c r="T11" s="512">
        <v>10</v>
      </c>
      <c r="U11" s="512">
        <v>10</v>
      </c>
      <c r="V11" s="512"/>
      <c r="W11" s="512"/>
      <c r="X11" s="512"/>
      <c r="Y11" s="511"/>
    </row>
    <row r="12" spans="1:25 4305:4305" ht="20.100000000000001" customHeight="1" thickTop="1" thickBot="1" x14ac:dyDescent="0.25">
      <c r="B12" s="687"/>
      <c r="C12" s="676" t="s">
        <v>48</v>
      </c>
      <c r="D12" s="480" t="str">
        <f>IF(ROUND(20*E5/10,0)*10&gt;500,500,ROUND(20*E5/10,0)*10)&amp;" ml fysiologisch zout iv per bolus"</f>
        <v>0 ml fysiologisch zout iv per bolus</v>
      </c>
      <c r="E12" s="480"/>
      <c r="F12" s="480"/>
      <c r="G12" s="525" t="s">
        <v>4</v>
      </c>
      <c r="J12" s="511"/>
      <c r="K12" s="511"/>
      <c r="L12" s="512">
        <v>10</v>
      </c>
      <c r="M12" s="512">
        <v>20</v>
      </c>
      <c r="N12" s="512">
        <v>6.5</v>
      </c>
      <c r="O12" s="512">
        <v>10</v>
      </c>
      <c r="P12" s="512">
        <v>9.3000000000000007</v>
      </c>
      <c r="Q12" s="512">
        <v>73</v>
      </c>
      <c r="R12" s="512"/>
      <c r="S12" s="512">
        <v>11</v>
      </c>
      <c r="T12" s="512">
        <v>10</v>
      </c>
      <c r="U12" s="512"/>
      <c r="V12" s="512"/>
      <c r="W12" s="512"/>
      <c r="X12" s="512"/>
      <c r="Y12" s="511"/>
    </row>
    <row r="13" spans="1:25 4305:4305" ht="20.100000000000001" customHeight="1" thickTop="1" x14ac:dyDescent="0.2">
      <c r="D13" s="354"/>
      <c r="G13" s="403"/>
      <c r="J13" s="511"/>
      <c r="K13" s="511"/>
      <c r="L13" s="512">
        <v>11</v>
      </c>
      <c r="M13" s="512">
        <v>20</v>
      </c>
      <c r="N13" s="512">
        <v>7</v>
      </c>
      <c r="O13" s="512">
        <v>11</v>
      </c>
      <c r="P13" s="512">
        <v>9.5</v>
      </c>
      <c r="Q13" s="512">
        <v>74</v>
      </c>
      <c r="R13" s="512"/>
      <c r="S13" s="512">
        <v>12</v>
      </c>
      <c r="T13" s="512">
        <v>10</v>
      </c>
      <c r="U13" s="512"/>
      <c r="V13" s="512"/>
      <c r="W13" s="512"/>
      <c r="X13" s="512"/>
      <c r="Y13" s="511"/>
    </row>
    <row r="14" spans="1:25 4305:4305" ht="20.100000000000001" customHeight="1" thickBot="1" x14ac:dyDescent="0.25">
      <c r="B14" s="687" t="s">
        <v>303</v>
      </c>
      <c r="C14" s="676" t="s">
        <v>253</v>
      </c>
      <c r="D14" s="506" t="str">
        <f>IF(0.5*E5&gt;20,"20 mg iv",0.5*E5&amp;" mg iv")</f>
        <v>0 mg iv</v>
      </c>
      <c r="E14" s="506" t="str">
        <f>"= "&amp;IF(0.5*E5&gt;20,"10 ml van een 2 mg/ml oplossing",ROUND(0.5*E5*0.5,1)&amp;" ml van een 2 mg/ml oplossing")</f>
        <v>= 0 ml van een 2 mg/ml oplossing</v>
      </c>
      <c r="F14" s="506"/>
      <c r="G14" s="514" t="s">
        <v>5</v>
      </c>
      <c r="J14" s="511"/>
      <c r="K14" s="511"/>
      <c r="L14" s="512">
        <v>12</v>
      </c>
      <c r="M14" s="512">
        <v>15</v>
      </c>
      <c r="N14" s="512">
        <v>7</v>
      </c>
      <c r="O14" s="512">
        <v>12</v>
      </c>
      <c r="P14" s="512">
        <v>10</v>
      </c>
      <c r="Q14" s="512">
        <v>76</v>
      </c>
      <c r="R14" s="512"/>
      <c r="S14" s="512">
        <v>13</v>
      </c>
      <c r="T14" s="512">
        <v>10</v>
      </c>
      <c r="U14" s="512"/>
      <c r="V14" s="512"/>
      <c r="W14" s="512"/>
      <c r="X14" s="512"/>
      <c r="Y14" s="511"/>
    </row>
    <row r="15" spans="1:25 4305:4305" ht="20.100000000000001" customHeight="1" thickTop="1" thickBot="1" x14ac:dyDescent="0.25">
      <c r="B15" s="687"/>
      <c r="C15" s="676" t="s">
        <v>211</v>
      </c>
      <c r="D15" s="495" t="str">
        <f>IF(ROUND(1*(E5),1)&gt;100,"100 mg iv",ROUND(1*(E5),1)&amp;" mg iv")</f>
        <v>0 mg iv</v>
      </c>
      <c r="E15" s="495" t="str">
        <f>"= "&amp;IF(ROUND(1*(E5),1)&gt;100,"10 ml"&amp;" van een 1mg/ml oplossing",ROUND(0.1*(E5),1)&amp;" ml"&amp;" van een 10 mg/ml oplossing")</f>
        <v>= 0 ml van een 10 mg/ml oplossing</v>
      </c>
      <c r="F15" s="495"/>
      <c r="G15" s="526" t="s">
        <v>6</v>
      </c>
      <c r="J15" s="511"/>
      <c r="K15" s="511"/>
      <c r="L15" s="512">
        <v>13</v>
      </c>
      <c r="M15" s="512">
        <v>15</v>
      </c>
      <c r="N15" s="512">
        <v>7</v>
      </c>
      <c r="O15" s="512"/>
      <c r="P15" s="512"/>
      <c r="Q15" s="512"/>
      <c r="R15" s="512"/>
      <c r="S15" s="512">
        <v>14</v>
      </c>
      <c r="T15" s="512">
        <v>10</v>
      </c>
      <c r="U15" s="512"/>
      <c r="V15" s="512"/>
      <c r="W15" s="512"/>
      <c r="X15" s="512"/>
      <c r="Y15" s="511"/>
    </row>
    <row r="16" spans="1:25 4305:4305" ht="20.100000000000001" customHeight="1" thickTop="1" thickBot="1" x14ac:dyDescent="0.25">
      <c r="B16" s="687"/>
      <c r="C16" s="676" t="s">
        <v>254</v>
      </c>
      <c r="D16" s="495" t="str">
        <f>IF(ROUND(0.02*(E5),1)&lt;0.1,"0,1 mg iv",IF(ROUND(0.02*(E5),1)&gt;0.5,"0,5 mg iv",ROUND(0.02*(E5),1)&amp;" mg iv"))</f>
        <v>0,1 mg iv</v>
      </c>
      <c r="E16" s="844" t="str">
        <f>"= "&amp;IF(ROUND(0.02*(E5),1)&lt;0.1,0.1,IF(ROUND(0.02*(E5),1)&gt;0.5,0.5,ROUND(0.02*(E5),1)))*2&amp;" ml van 0,5 mg/ml (min 0,1 mg)"</f>
        <v>= 0,2 ml van 0,5 mg/ml (min 0,1 mg)</v>
      </c>
      <c r="F16" s="844"/>
      <c r="G16" s="526" t="s">
        <v>7</v>
      </c>
      <c r="J16" s="511"/>
      <c r="K16" s="511"/>
      <c r="L16" s="512">
        <v>14</v>
      </c>
      <c r="M16" s="512">
        <v>15</v>
      </c>
      <c r="N16" s="512">
        <v>7</v>
      </c>
      <c r="O16" s="512"/>
      <c r="P16" s="512"/>
      <c r="Q16" s="512"/>
      <c r="R16" s="512"/>
      <c r="S16" s="512">
        <v>15</v>
      </c>
      <c r="T16" s="512">
        <v>10</v>
      </c>
      <c r="U16" s="512"/>
      <c r="V16" s="512"/>
      <c r="W16" s="512"/>
      <c r="X16" s="512"/>
      <c r="Y16" s="511"/>
    </row>
    <row r="17" spans="2:25" ht="20.100000000000001" customHeight="1" thickTop="1" thickBot="1" x14ac:dyDescent="0.25">
      <c r="B17" s="687"/>
      <c r="C17" s="676"/>
      <c r="D17" s="480"/>
      <c r="E17" s="845"/>
      <c r="F17" s="845"/>
      <c r="G17" s="525"/>
      <c r="J17" s="511"/>
      <c r="K17" s="511"/>
      <c r="L17" s="512">
        <v>15</v>
      </c>
      <c r="M17" s="512">
        <v>15</v>
      </c>
      <c r="N17" s="512">
        <v>7</v>
      </c>
      <c r="O17" s="512"/>
      <c r="P17" s="512"/>
      <c r="Q17" s="512"/>
      <c r="R17" s="512"/>
      <c r="S17" s="512">
        <v>16</v>
      </c>
      <c r="T17" s="512">
        <v>20</v>
      </c>
      <c r="U17" s="512"/>
      <c r="V17" s="512"/>
      <c r="W17" s="512"/>
      <c r="X17" s="512"/>
      <c r="Y17" s="511"/>
    </row>
    <row r="18" spans="2:25" ht="15.75" customHeight="1" thickTop="1" x14ac:dyDescent="0.2">
      <c r="C18" s="402"/>
      <c r="D18" s="354"/>
      <c r="E18" s="404"/>
      <c r="F18" s="404"/>
      <c r="G18" s="403"/>
      <c r="H18" s="405"/>
      <c r="I18" s="405"/>
      <c r="J18" s="515"/>
      <c r="K18" s="511"/>
      <c r="L18" s="512">
        <v>16</v>
      </c>
      <c r="M18" s="512">
        <v>15</v>
      </c>
      <c r="N18" s="512">
        <v>7</v>
      </c>
      <c r="O18" s="512"/>
      <c r="P18" s="512"/>
      <c r="Q18" s="512"/>
      <c r="R18" s="512"/>
      <c r="S18" s="512">
        <v>17</v>
      </c>
      <c r="T18" s="512">
        <v>20</v>
      </c>
      <c r="U18" s="512"/>
      <c r="V18" s="512"/>
      <c r="W18" s="512"/>
      <c r="X18" s="512"/>
      <c r="Y18" s="511"/>
    </row>
    <row r="19" spans="2:25" ht="20.100000000000001" customHeight="1" thickBot="1" x14ac:dyDescent="0.25">
      <c r="B19" s="687" t="s">
        <v>206</v>
      </c>
      <c r="C19" s="676" t="s">
        <v>75</v>
      </c>
      <c r="D19" s="506" t="str">
        <f>IF(0.02*E5&gt;0.3,"0,3 mg iv",0.02*E5&amp;" mg iv")</f>
        <v>0 mg iv</v>
      </c>
      <c r="E19" s="506" t="str">
        <f>"= "&amp;IF(0.02*E5&gt;1,"10 ml van anexate 0,1 mg/ml",ROUND((0.02*E5)/0.1,1)&amp;" ml van anexate 0,1 mg/ml")</f>
        <v>= 0 ml van anexate 0,1 mg/ml</v>
      </c>
      <c r="F19" s="506"/>
      <c r="G19" s="514" t="s">
        <v>8</v>
      </c>
      <c r="H19" s="405"/>
      <c r="I19" s="405"/>
      <c r="J19" s="515"/>
      <c r="K19" s="511"/>
      <c r="L19" s="512">
        <v>17</v>
      </c>
      <c r="M19" s="512">
        <v>15</v>
      </c>
      <c r="N19" s="512">
        <v>7</v>
      </c>
      <c r="O19" s="512"/>
      <c r="P19" s="512"/>
      <c r="Q19" s="512"/>
      <c r="R19" s="512"/>
      <c r="S19" s="512">
        <v>18</v>
      </c>
      <c r="T19" s="512">
        <v>20</v>
      </c>
      <c r="U19" s="512"/>
      <c r="V19" s="512"/>
      <c r="W19" s="512"/>
      <c r="X19" s="512"/>
      <c r="Y19" s="511"/>
    </row>
    <row r="20" spans="2:25" ht="20.100000000000001" customHeight="1" thickTop="1" thickBot="1" x14ac:dyDescent="0.25">
      <c r="B20" s="687"/>
      <c r="C20" s="676" t="s">
        <v>255</v>
      </c>
      <c r="D20" s="495" t="str">
        <f>IF(0.01*E5&gt;0.4,"0,4 mg iv",0.01*E5&amp;" mg iv")</f>
        <v>0 mg iv</v>
      </c>
      <c r="E20" s="84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44"/>
      <c r="G20" s="526" t="s">
        <v>9</v>
      </c>
      <c r="J20" s="511"/>
      <c r="K20" s="511"/>
      <c r="L20" s="512">
        <v>18</v>
      </c>
      <c r="M20" s="512">
        <v>15</v>
      </c>
      <c r="N20" s="512">
        <v>7</v>
      </c>
      <c r="O20" s="512"/>
      <c r="P20" s="512"/>
      <c r="Q20" s="512"/>
      <c r="R20" s="512"/>
      <c r="S20" s="512">
        <v>19</v>
      </c>
      <c r="T20" s="512">
        <v>20</v>
      </c>
      <c r="U20" s="512"/>
      <c r="V20" s="512"/>
      <c r="W20" s="512"/>
      <c r="X20" s="512"/>
      <c r="Y20" s="511"/>
    </row>
    <row r="21" spans="2:25" ht="20.100000000000001" customHeight="1" thickTop="1" thickBot="1" x14ac:dyDescent="0.25">
      <c r="B21" s="687"/>
      <c r="C21" s="676"/>
      <c r="D21" s="480"/>
      <c r="E21" s="845"/>
      <c r="F21" s="845"/>
      <c r="G21" s="525"/>
      <c r="J21" s="511"/>
      <c r="K21" s="511"/>
      <c r="L21" s="512"/>
      <c r="M21" s="512"/>
      <c r="N21" s="512"/>
      <c r="O21" s="512"/>
      <c r="P21" s="512"/>
      <c r="Q21" s="512"/>
      <c r="R21" s="512"/>
      <c r="S21" s="512">
        <v>20</v>
      </c>
      <c r="T21" s="512">
        <v>20</v>
      </c>
      <c r="U21" s="512">
        <v>20</v>
      </c>
      <c r="V21" s="512"/>
      <c r="W21" s="512"/>
      <c r="X21" s="512"/>
      <c r="Y21" s="511"/>
    </row>
    <row r="22" spans="2:25" ht="20.100000000000001" customHeight="1" thickTop="1" x14ac:dyDescent="0.2">
      <c r="C22" s="402"/>
      <c r="D22" s="354"/>
      <c r="E22" s="404"/>
      <c r="F22" s="404"/>
      <c r="G22" s="403"/>
      <c r="J22" s="511"/>
      <c r="K22" s="511"/>
      <c r="L22" s="512"/>
      <c r="M22" s="512"/>
      <c r="N22" s="512"/>
      <c r="O22" s="512"/>
      <c r="P22" s="512"/>
      <c r="Q22" s="512"/>
      <c r="R22" s="512"/>
      <c r="S22" s="512">
        <v>21</v>
      </c>
      <c r="T22" s="512">
        <v>30</v>
      </c>
      <c r="U22" s="512"/>
      <c r="V22" s="512"/>
      <c r="W22" s="512"/>
      <c r="X22" s="512"/>
      <c r="Y22" s="511"/>
    </row>
    <row r="23" spans="2:25" ht="20.100000000000001" customHeight="1" thickBot="1" x14ac:dyDescent="0.25">
      <c r="B23" s="687" t="s">
        <v>207</v>
      </c>
      <c r="C23" s="676" t="str">
        <f ca="1">IF(C5=0,"alprostadil (Prostin)","")</f>
        <v/>
      </c>
      <c r="D23" s="506" t="str">
        <f ca="1">IF(C5=0,"0,5 mg in 50 ml NaCl 0.9%","")</f>
        <v/>
      </c>
      <c r="E23" s="506" t="str">
        <f ca="1">IF(C5=0,"1 ml/uur = "&amp;ROUND(1000*(0.5/50)*24/(E5)/1.44,0)&amp;" nanog/kg/min iv","")</f>
        <v/>
      </c>
      <c r="F23" s="506"/>
      <c r="G23" s="514" t="s">
        <v>248</v>
      </c>
      <c r="J23" s="511"/>
      <c r="K23" s="511"/>
      <c r="L23" s="512"/>
      <c r="M23" s="512"/>
      <c r="N23" s="512"/>
      <c r="O23" s="512"/>
      <c r="P23" s="512"/>
      <c r="Q23" s="512"/>
      <c r="R23" s="512"/>
      <c r="S23" s="512">
        <v>22</v>
      </c>
      <c r="T23" s="512">
        <v>30</v>
      </c>
      <c r="U23" s="512"/>
      <c r="V23" s="512"/>
      <c r="W23" s="512"/>
      <c r="X23" s="512"/>
      <c r="Y23" s="511"/>
    </row>
    <row r="24" spans="2:25" ht="20.100000000000001" customHeight="1" thickTop="1" thickBot="1" x14ac:dyDescent="0.25">
      <c r="B24" s="687"/>
      <c r="C24" s="676" t="s">
        <v>78</v>
      </c>
      <c r="D24" s="495" t="str">
        <f>IF(E5&gt;5,"200 mg in 50 ml NaCl 0.9%",ROUND(((E5)*24*60*(10/1000)/(24/50))/50,0)*50&amp;" mg in 50 ml NaCl 0.9%")</f>
        <v>0 mg in 50 ml NaCl 0.9%</v>
      </c>
      <c r="E24" s="495" t="str">
        <f>IF(_Pat_Gewicht&gt;0,"1 ml/uur = "&amp;IF(E5&gt;5,ROUND((200/50/E5/60)*1000,1),ROUND(24*ROUND(((E5)*24*60*(10/1000)/(24/50))/50,0)*50/50/1.44/E5,1))&amp;" mcg/kg/min","")</f>
        <v/>
      </c>
      <c r="F24" s="495"/>
      <c r="G24" s="526" t="s">
        <v>259</v>
      </c>
      <c r="J24" s="511"/>
      <c r="K24" s="511"/>
      <c r="L24" s="512"/>
      <c r="M24" s="512"/>
      <c r="N24" s="512"/>
      <c r="O24" s="512"/>
      <c r="P24" s="512"/>
      <c r="Q24" s="512"/>
      <c r="R24" s="512"/>
      <c r="S24" s="512">
        <v>23</v>
      </c>
      <c r="T24" s="512">
        <v>30</v>
      </c>
      <c r="U24" s="512"/>
      <c r="V24" s="512"/>
      <c r="W24" s="512"/>
      <c r="X24" s="512"/>
      <c r="Y24" s="511"/>
    </row>
    <row r="25" spans="2:25" ht="20.100000000000001" customHeight="1" thickTop="1" thickBot="1" x14ac:dyDescent="0.25">
      <c r="B25" s="687"/>
      <c r="C25" s="676" t="s">
        <v>79</v>
      </c>
      <c r="D25" s="480" t="str">
        <f>IF(_Pat_Gewicht/15&gt;5,"10 mg in 50 ml NaCl 0.9%",ROUND((E5)*24*60*(0.1/1000)/(24/50)/5,1)*5&amp;" mg in 50 ml NaCl 0.9%")</f>
        <v>0 mg in 50 ml NaCl 0.9%</v>
      </c>
      <c r="E25" s="480" t="str">
        <f>IF(_Pat_Gewicht&gt;0,"1 ml/uur = "&amp;IF(E5&gt;5,ROUND((10/50/E5/60)*1000,2),ROUND(24*ROUND((E5)*24*60*(0.1/1000)/(24/50)/5,1)*5/50/1.44/E5,2))&amp;" mcg/kg/min","")</f>
        <v/>
      </c>
      <c r="F25" s="480"/>
      <c r="G25" s="525" t="s">
        <v>310</v>
      </c>
      <c r="J25" s="511"/>
      <c r="K25" s="511"/>
      <c r="L25" s="512"/>
      <c r="M25" s="512"/>
      <c r="N25" s="512"/>
      <c r="O25" s="512"/>
      <c r="P25" s="512"/>
      <c r="Q25" s="512"/>
      <c r="R25" s="512"/>
      <c r="S25" s="512">
        <v>24</v>
      </c>
      <c r="T25" s="512">
        <v>30</v>
      </c>
      <c r="U25" s="512"/>
      <c r="V25" s="512"/>
      <c r="W25" s="512"/>
      <c r="X25" s="512"/>
      <c r="Y25" s="511"/>
    </row>
    <row r="26" spans="2:25" ht="20.100000000000001" customHeight="1" thickTop="1" x14ac:dyDescent="0.2">
      <c r="D26" s="354"/>
      <c r="G26" s="403"/>
      <c r="J26" s="511"/>
      <c r="K26" s="511"/>
      <c r="L26" s="512"/>
      <c r="M26" s="512"/>
      <c r="N26" s="512"/>
      <c r="O26" s="512"/>
      <c r="P26" s="512"/>
      <c r="Q26" s="512"/>
      <c r="R26" s="512"/>
      <c r="S26" s="512">
        <v>25</v>
      </c>
      <c r="T26" s="512">
        <v>30</v>
      </c>
      <c r="U26" s="512"/>
      <c r="V26" s="512"/>
      <c r="W26" s="512"/>
      <c r="X26" s="512"/>
      <c r="Y26" s="511"/>
    </row>
    <row r="27" spans="2:25" ht="20.100000000000001" customHeight="1" thickBot="1" x14ac:dyDescent="0.25">
      <c r="B27" s="842" t="s">
        <v>208</v>
      </c>
      <c r="C27" s="676" t="s">
        <v>341</v>
      </c>
      <c r="D27" s="506" t="str">
        <f>IF(ROUND(E5/2,0)*2&gt;50,"300 mg iv",ROUND(E5*5,0)&amp;" mg iv")</f>
        <v>0 mg iv</v>
      </c>
      <c r="E27" s="506" t="str">
        <f>IF(ROUND(E5/2,0)*2&gt;50,"6 ml van amiodarone 50 mg/ml iv",ROUND(E5*0.1,1)&amp;" ml van amiodarone 50 mg/ml iv")</f>
        <v>0 ml van amiodarone 50 mg/ml iv</v>
      </c>
      <c r="F27" s="506"/>
      <c r="G27" s="514" t="s">
        <v>10</v>
      </c>
      <c r="J27" s="511"/>
      <c r="K27" s="511"/>
      <c r="L27" s="512"/>
      <c r="M27" s="512"/>
      <c r="N27" s="512"/>
      <c r="O27" s="512"/>
      <c r="P27" s="512"/>
      <c r="Q27" s="512"/>
      <c r="R27" s="512"/>
      <c r="S27" s="512">
        <v>26</v>
      </c>
      <c r="T27" s="512">
        <v>30</v>
      </c>
      <c r="U27" s="512"/>
      <c r="V27" s="512"/>
      <c r="W27" s="512"/>
      <c r="X27" s="512"/>
      <c r="Y27" s="511"/>
    </row>
    <row r="28" spans="2:25" ht="20.100000000000001" customHeight="1" thickTop="1" thickBot="1" x14ac:dyDescent="0.25">
      <c r="B28" s="843"/>
      <c r="C28" s="676" t="s">
        <v>243</v>
      </c>
      <c r="D28" s="480" t="str">
        <f>IF(E5/10&gt;10,"10 ml iv",E5/10 &amp;" ml iv")</f>
        <v>0 ml iv</v>
      </c>
      <c r="E28" s="480" t="s">
        <v>181</v>
      </c>
      <c r="F28" s="480"/>
      <c r="G28" s="525" t="s">
        <v>11</v>
      </c>
      <c r="J28" s="511"/>
      <c r="K28" s="511"/>
      <c r="L28" s="512"/>
      <c r="M28" s="512"/>
      <c r="N28" s="512"/>
      <c r="O28" s="512"/>
      <c r="P28" s="512"/>
      <c r="Q28" s="512"/>
      <c r="R28" s="512"/>
      <c r="S28" s="512">
        <v>27</v>
      </c>
      <c r="T28" s="512">
        <v>30</v>
      </c>
      <c r="U28" s="512"/>
      <c r="V28" s="512"/>
      <c r="W28" s="512"/>
      <c r="X28" s="512"/>
      <c r="Y28" s="511"/>
    </row>
    <row r="29" spans="2:25" ht="20.100000000000001" customHeight="1" thickTop="1" x14ac:dyDescent="0.2">
      <c r="D29" s="354"/>
      <c r="G29" s="403"/>
      <c r="J29" s="511"/>
      <c r="K29" s="511"/>
      <c r="L29" s="512"/>
      <c r="M29" s="512"/>
      <c r="N29" s="512"/>
      <c r="O29" s="512"/>
      <c r="P29" s="512"/>
      <c r="Q29" s="512"/>
      <c r="R29" s="512"/>
      <c r="S29" s="512">
        <v>28</v>
      </c>
      <c r="T29" s="512">
        <v>30</v>
      </c>
      <c r="U29" s="512"/>
      <c r="V29" s="512"/>
      <c r="W29" s="512"/>
      <c r="X29" s="512"/>
      <c r="Y29" s="511"/>
    </row>
    <row r="30" spans="2:25" ht="20.100000000000001" customHeight="1" thickBot="1" x14ac:dyDescent="0.25">
      <c r="B30" s="841" t="s">
        <v>71</v>
      </c>
      <c r="C30" s="676" t="s">
        <v>80</v>
      </c>
      <c r="D30" s="506" t="str">
        <f>IF((0.5*E5)&gt;10,"10 mg rect",(0.5*E5)&amp;" mg rect")</f>
        <v>0 mg rect</v>
      </c>
      <c r="E30" s="506" t="str">
        <f>"= "&amp;IF((0.5*E5)&gt;10,"5 ml van diazepam 2 mg/ml",ROUND((0.5*E5)/2,1)&amp;" ml van diazepam 2 mg/ml")</f>
        <v>= 0 ml van diazepam 2 mg/ml</v>
      </c>
      <c r="F30" s="506"/>
      <c r="G30" s="514" t="s">
        <v>12</v>
      </c>
      <c r="J30" s="511"/>
      <c r="K30" s="511"/>
      <c r="L30" s="512"/>
      <c r="M30" s="512"/>
      <c r="N30" s="512"/>
      <c r="O30" s="512"/>
      <c r="P30" s="512"/>
      <c r="Q30" s="512"/>
      <c r="R30" s="512"/>
      <c r="S30" s="512">
        <v>29</v>
      </c>
      <c r="T30" s="512">
        <v>30</v>
      </c>
      <c r="U30" s="512"/>
      <c r="V30" s="512"/>
      <c r="W30" s="512"/>
      <c r="X30" s="512"/>
      <c r="Y30" s="511"/>
    </row>
    <row r="31" spans="2:25" ht="20.100000000000001" customHeight="1" thickTop="1" thickBot="1" x14ac:dyDescent="0.25">
      <c r="B31" s="841"/>
      <c r="C31" s="676" t="s">
        <v>210</v>
      </c>
      <c r="D31" s="495" t="str">
        <f>IF((20*E5)&gt;1500,"1500 mg iv",20*E5&amp;" mg iv")</f>
        <v>0 mg iv</v>
      </c>
      <c r="E31" s="84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44"/>
      <c r="G31" s="528" t="s">
        <v>28</v>
      </c>
      <c r="J31" s="511"/>
      <c r="L31" s="512"/>
      <c r="M31" s="512"/>
      <c r="N31" s="512"/>
      <c r="O31" s="512"/>
      <c r="P31" s="512"/>
      <c r="Q31" s="512"/>
      <c r="R31" s="512"/>
      <c r="S31" s="512">
        <v>30</v>
      </c>
      <c r="T31" s="512">
        <v>30</v>
      </c>
      <c r="U31" s="512">
        <v>30</v>
      </c>
      <c r="V31" s="512"/>
      <c r="W31" s="512"/>
      <c r="X31" s="512"/>
      <c r="Y31" s="511"/>
    </row>
    <row r="32" spans="2:25" ht="20.100000000000001" customHeight="1" thickTop="1" thickBot="1" x14ac:dyDescent="0.25">
      <c r="B32" s="687"/>
      <c r="C32" s="676"/>
      <c r="D32" s="495"/>
      <c r="E32" s="844"/>
      <c r="F32" s="844"/>
      <c r="G32" s="526"/>
      <c r="L32" s="512"/>
      <c r="M32" s="512"/>
      <c r="N32" s="512"/>
      <c r="O32" s="512"/>
      <c r="P32" s="512"/>
      <c r="Q32" s="512"/>
      <c r="R32" s="512"/>
      <c r="S32" s="512">
        <v>31</v>
      </c>
      <c r="T32" s="512">
        <v>50</v>
      </c>
      <c r="U32" s="512"/>
      <c r="V32" s="512"/>
      <c r="W32" s="512"/>
      <c r="X32" s="512"/>
      <c r="Y32" s="511"/>
    </row>
    <row r="33" spans="2:25" ht="12.75" customHeight="1" thickTop="1" thickBot="1" x14ac:dyDescent="0.25">
      <c r="B33" s="687"/>
      <c r="C33" s="676" t="s">
        <v>283</v>
      </c>
      <c r="D33" s="480" t="str">
        <f>IF((0.1*E5)&gt;10,"10 mg iv",0.1*E5&amp;" mg iv")</f>
        <v>0 mg iv</v>
      </c>
      <c r="E33" s="480" t="str">
        <f>"= "&amp;IF((0.1*E5)&gt;15,10,ROUND((0.1*E5),1))&amp;" ml van dormicum 1 mg/ml iv"</f>
        <v>= 0 ml van dormicum 1 mg/ml iv</v>
      </c>
      <c r="F33" s="480"/>
      <c r="G33" s="527" t="s">
        <v>13</v>
      </c>
      <c r="L33" s="512"/>
      <c r="M33" s="512"/>
      <c r="N33" s="512"/>
      <c r="O33" s="512"/>
      <c r="P33" s="512"/>
      <c r="Q33" s="512"/>
      <c r="R33" s="512"/>
      <c r="S33" s="512">
        <v>32</v>
      </c>
      <c r="T33" s="512">
        <v>50</v>
      </c>
      <c r="U33" s="512"/>
      <c r="V33" s="512"/>
      <c r="W33" s="512"/>
      <c r="X33" s="512"/>
      <c r="Y33" s="511"/>
    </row>
    <row r="34" spans="2:25" ht="13.5" customHeight="1" thickTop="1" x14ac:dyDescent="0.2">
      <c r="D34" s="354"/>
      <c r="G34" s="403"/>
      <c r="L34" s="512"/>
      <c r="M34" s="512"/>
      <c r="N34" s="512"/>
      <c r="O34" s="512"/>
      <c r="P34" s="512"/>
      <c r="Q34" s="512"/>
      <c r="R34" s="512"/>
      <c r="S34" s="512">
        <v>33</v>
      </c>
      <c r="T34" s="512">
        <v>50</v>
      </c>
      <c r="U34" s="512"/>
      <c r="V34" s="512"/>
      <c r="W34" s="512"/>
      <c r="X34" s="512"/>
      <c r="Y34" s="511"/>
    </row>
    <row r="35" spans="2:25" ht="19.5" customHeight="1" thickBot="1" x14ac:dyDescent="0.25">
      <c r="B35" s="687" t="s">
        <v>72</v>
      </c>
      <c r="C35" s="676" t="s">
        <v>317</v>
      </c>
      <c r="D35" s="506" t="str">
        <f>IF(1*(E5&gt;25),"25 mg iv",1*(E5)&amp;" mg iv")</f>
        <v>0 mg iv</v>
      </c>
      <c r="E35" s="506"/>
      <c r="F35" s="506"/>
      <c r="G35" s="514" t="s">
        <v>14</v>
      </c>
      <c r="L35" s="512"/>
      <c r="M35" s="512"/>
      <c r="N35" s="512"/>
      <c r="O35" s="512"/>
      <c r="P35" s="512"/>
      <c r="Q35" s="512"/>
      <c r="R35" s="512"/>
      <c r="S35" s="512">
        <v>34</v>
      </c>
      <c r="T35" s="512">
        <v>50</v>
      </c>
      <c r="U35" s="512"/>
      <c r="V35" s="512"/>
      <c r="W35" s="512"/>
      <c r="X35" s="512"/>
      <c r="Y35" s="511"/>
    </row>
    <row r="36" spans="2:25" ht="19.5" customHeight="1" thickTop="1" thickBot="1" x14ac:dyDescent="0.25">
      <c r="B36" s="687"/>
      <c r="C36" s="676" t="s">
        <v>81</v>
      </c>
      <c r="D36" s="480" t="str">
        <f>IF(ROUND((0.5*E5),1)&gt;50,"50 gram iv",ROUND((0.5*E5),1)&amp;" gram iv")</f>
        <v>0 gram iv</v>
      </c>
      <c r="E36" s="480" t="str">
        <f>"= "&amp;IF(ROUND((0.5*E5),1)&gt;50,ROUND(50/0.15,0),ROUND((0.5*E5)/0.15,0))&amp;" ml van mannitol 15% in 30 min iv"</f>
        <v>= 0 ml van mannitol 15% in 30 min iv</v>
      </c>
      <c r="F36" s="480"/>
      <c r="G36" s="525" t="s">
        <v>15</v>
      </c>
      <c r="L36" s="512"/>
      <c r="M36" s="512"/>
      <c r="N36" s="512"/>
      <c r="O36" s="512"/>
      <c r="P36" s="512"/>
      <c r="Q36" s="512"/>
      <c r="R36" s="512"/>
      <c r="S36" s="512">
        <v>35</v>
      </c>
      <c r="T36" s="512">
        <v>50</v>
      </c>
      <c r="U36" s="512"/>
      <c r="V36" s="512"/>
      <c r="W36" s="512"/>
      <c r="X36" s="512"/>
      <c r="Y36" s="511"/>
    </row>
    <row r="37" spans="2:25" ht="25.5" customHeight="1" thickTop="1" x14ac:dyDescent="0.2">
      <c r="D37" s="354"/>
      <c r="G37" s="406"/>
      <c r="L37" s="512"/>
      <c r="M37" s="512"/>
      <c r="N37" s="512"/>
      <c r="O37" s="512"/>
      <c r="P37" s="512"/>
      <c r="Q37" s="512"/>
      <c r="R37" s="512"/>
      <c r="S37" s="512">
        <v>36</v>
      </c>
      <c r="T37" s="512">
        <v>50</v>
      </c>
      <c r="U37" s="512"/>
      <c r="V37" s="512"/>
      <c r="W37" s="512"/>
      <c r="X37" s="512"/>
      <c r="Y37" s="511"/>
    </row>
    <row r="38" spans="2:25" ht="19.5" customHeight="1" thickBot="1" x14ac:dyDescent="0.25">
      <c r="B38" s="687" t="s">
        <v>82</v>
      </c>
      <c r="C38" s="684" t="s">
        <v>230</v>
      </c>
      <c r="D38" s="506" t="str">
        <f ca="1">"AMV "&amp;ROUND(E5*8*VLOOKUP(C5,L2:M20,2)/1000,1)&amp;" L/min"</f>
        <v>AMV 0 L/min</v>
      </c>
      <c r="E38" s="506"/>
      <c r="F38" s="506" t="s">
        <v>83</v>
      </c>
      <c r="G38" s="506"/>
      <c r="L38" s="512"/>
      <c r="M38" s="512"/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1"/>
    </row>
    <row r="39" spans="2:25" ht="19.5" customHeight="1" thickTop="1" thickBot="1" x14ac:dyDescent="0.25">
      <c r="B39" s="687"/>
      <c r="C39" s="676"/>
      <c r="D39" s="495" t="str">
        <f ca="1">"frequentie "&amp;VLOOKUP(C5,L2:M20,2)&amp;"/min"</f>
        <v>frequentie 15/min</v>
      </c>
      <c r="E39" s="495"/>
      <c r="F39" s="495" t="s">
        <v>84</v>
      </c>
      <c r="G39" s="495"/>
      <c r="L39" s="512"/>
      <c r="M39" s="512"/>
      <c r="N39" s="512"/>
      <c r="O39" s="512"/>
      <c r="P39" s="512"/>
      <c r="Q39" s="512"/>
      <c r="R39" s="512"/>
      <c r="S39" s="512">
        <v>37</v>
      </c>
      <c r="T39" s="512">
        <v>50</v>
      </c>
      <c r="U39" s="512"/>
      <c r="V39" s="512"/>
      <c r="W39" s="512"/>
      <c r="X39" s="512"/>
      <c r="Y39" s="511"/>
    </row>
    <row r="40" spans="2:25" ht="19.5" customHeight="1" thickTop="1" thickBot="1" x14ac:dyDescent="0.25">
      <c r="B40" s="687"/>
      <c r="C40" s="676"/>
      <c r="D40" s="495" t="s">
        <v>342</v>
      </c>
      <c r="E40" s="495"/>
      <c r="F40" s="495" t="s">
        <v>331</v>
      </c>
      <c r="G40" s="495"/>
      <c r="L40" s="512"/>
      <c r="M40" s="512"/>
      <c r="N40" s="512"/>
      <c r="O40" s="512"/>
      <c r="P40" s="512"/>
      <c r="Q40" s="512"/>
      <c r="R40" s="512"/>
      <c r="S40" s="512">
        <v>38</v>
      </c>
      <c r="T40" s="512">
        <v>50</v>
      </c>
      <c r="U40" s="512"/>
      <c r="V40" s="512"/>
      <c r="W40" s="512"/>
      <c r="X40" s="512"/>
      <c r="Y40" s="511"/>
    </row>
    <row r="41" spans="2:25" ht="19.5" customHeight="1" thickTop="1" thickBot="1" x14ac:dyDescent="0.25">
      <c r="B41" s="687"/>
      <c r="C41" s="676"/>
      <c r="D41" s="495" t="s">
        <v>332</v>
      </c>
      <c r="E41" s="495"/>
      <c r="F41" s="495"/>
      <c r="G41" s="495"/>
      <c r="L41" s="512"/>
      <c r="M41" s="512"/>
      <c r="N41" s="512"/>
      <c r="O41" s="512"/>
      <c r="P41" s="512"/>
      <c r="Q41" s="512"/>
      <c r="R41" s="512"/>
      <c r="S41" s="512">
        <v>39</v>
      </c>
      <c r="T41" s="512">
        <v>50</v>
      </c>
      <c r="U41" s="512"/>
      <c r="V41" s="512"/>
      <c r="W41" s="512"/>
      <c r="X41" s="512"/>
      <c r="Y41" s="511"/>
    </row>
    <row r="42" spans="2:25" ht="19.5" customHeight="1" thickTop="1" thickBot="1" x14ac:dyDescent="0.25">
      <c r="B42" s="687"/>
      <c r="C42" s="676"/>
      <c r="D42" s="480"/>
      <c r="E42" s="480"/>
      <c r="F42" s="480"/>
      <c r="G42" s="480"/>
      <c r="L42" s="512"/>
      <c r="M42" s="512"/>
      <c r="N42" s="512"/>
      <c r="O42" s="512"/>
      <c r="P42" s="512"/>
      <c r="Q42" s="512"/>
      <c r="R42" s="512"/>
      <c r="S42" s="512">
        <v>40</v>
      </c>
      <c r="T42" s="512">
        <v>50</v>
      </c>
      <c r="U42" s="512"/>
      <c r="V42" s="512"/>
      <c r="W42" s="512"/>
      <c r="X42" s="512"/>
      <c r="Y42" s="511"/>
    </row>
    <row r="43" spans="2:25" ht="19.5" customHeight="1" thickTop="1" x14ac:dyDescent="0.2">
      <c r="L43" s="512"/>
      <c r="M43" s="512"/>
      <c r="N43" s="512"/>
      <c r="O43" s="512"/>
      <c r="P43" s="512"/>
      <c r="Q43" s="512"/>
      <c r="R43" s="512"/>
      <c r="S43" s="512">
        <v>41</v>
      </c>
      <c r="T43" s="512">
        <v>50</v>
      </c>
      <c r="U43" s="512"/>
      <c r="V43" s="512"/>
      <c r="W43" s="512"/>
      <c r="X43" s="512"/>
      <c r="Y43" s="511"/>
    </row>
    <row r="44" spans="2:25" ht="19.5" customHeight="1" x14ac:dyDescent="0.2">
      <c r="B44" s="690" t="s">
        <v>68</v>
      </c>
      <c r="C44" s="506"/>
      <c r="L44" s="512"/>
      <c r="M44" s="512"/>
      <c r="N44" s="512"/>
      <c r="O44" s="512"/>
      <c r="P44" s="512"/>
      <c r="Q44" s="512"/>
      <c r="R44" s="512"/>
      <c r="S44" s="512">
        <v>42</v>
      </c>
      <c r="T44" s="512">
        <v>50</v>
      </c>
      <c r="U44" s="512"/>
      <c r="V44" s="512"/>
      <c r="W44" s="512"/>
      <c r="X44" s="512"/>
      <c r="Y44" s="511"/>
    </row>
    <row r="45" spans="2:25" ht="19.5" customHeight="1" x14ac:dyDescent="0.2">
      <c r="L45" s="512"/>
      <c r="M45" s="512"/>
      <c r="N45" s="512"/>
      <c r="O45" s="512"/>
      <c r="P45" s="512"/>
      <c r="Q45" s="512"/>
      <c r="R45" s="512"/>
      <c r="S45" s="512">
        <v>43</v>
      </c>
      <c r="T45" s="512">
        <v>50</v>
      </c>
      <c r="U45" s="512"/>
      <c r="V45" s="512"/>
      <c r="W45" s="512"/>
      <c r="X45" s="512"/>
      <c r="Y45" s="511"/>
    </row>
    <row r="46" spans="2:25" ht="19.5" customHeight="1" x14ac:dyDescent="0.2">
      <c r="L46" s="512"/>
      <c r="M46" s="512"/>
      <c r="N46" s="512"/>
      <c r="O46" s="512"/>
      <c r="P46" s="512"/>
      <c r="Q46" s="512"/>
      <c r="R46" s="512"/>
      <c r="S46" s="512">
        <v>44</v>
      </c>
      <c r="T46" s="512">
        <v>50</v>
      </c>
      <c r="U46" s="512"/>
      <c r="V46" s="512"/>
      <c r="W46" s="512"/>
      <c r="X46" s="512"/>
      <c r="Y46" s="511"/>
    </row>
    <row r="47" spans="2:25" x14ac:dyDescent="0.2">
      <c r="L47" s="512"/>
      <c r="M47" s="512"/>
      <c r="N47" s="512"/>
      <c r="O47" s="512"/>
      <c r="P47" s="512"/>
      <c r="Q47" s="512"/>
      <c r="R47" s="512"/>
      <c r="S47" s="512">
        <v>45</v>
      </c>
      <c r="T47" s="512">
        <v>50</v>
      </c>
      <c r="U47" s="512"/>
      <c r="V47" s="512"/>
      <c r="W47" s="512"/>
      <c r="X47" s="512"/>
      <c r="Y47" s="511"/>
    </row>
    <row r="48" spans="2:25" x14ac:dyDescent="0.2">
      <c r="L48" s="512"/>
      <c r="M48" s="512"/>
      <c r="N48" s="512"/>
      <c r="O48" s="512"/>
      <c r="P48" s="512"/>
      <c r="Q48" s="512"/>
      <c r="R48" s="512"/>
      <c r="S48" s="512">
        <v>46</v>
      </c>
      <c r="T48" s="512">
        <v>50</v>
      </c>
      <c r="U48" s="512"/>
      <c r="V48" s="512"/>
      <c r="W48" s="512"/>
      <c r="X48" s="512"/>
      <c r="Y48" s="511"/>
    </row>
    <row r="49" spans="12:25" x14ac:dyDescent="0.2">
      <c r="L49" s="512"/>
      <c r="M49" s="512"/>
      <c r="N49" s="512"/>
      <c r="O49" s="512"/>
      <c r="P49" s="512"/>
      <c r="Q49" s="512"/>
      <c r="R49" s="512"/>
      <c r="S49" s="512">
        <v>47</v>
      </c>
      <c r="T49" s="512">
        <v>50</v>
      </c>
      <c r="U49" s="512"/>
      <c r="V49" s="512"/>
      <c r="W49" s="512"/>
      <c r="X49" s="512"/>
      <c r="Y49" s="511"/>
    </row>
    <row r="50" spans="12:25" x14ac:dyDescent="0.2">
      <c r="L50" s="512"/>
      <c r="M50" s="512"/>
      <c r="N50" s="512"/>
      <c r="O50" s="512"/>
      <c r="P50" s="512"/>
      <c r="Q50" s="512"/>
      <c r="R50" s="512"/>
      <c r="S50" s="512">
        <v>48</v>
      </c>
      <c r="T50" s="512">
        <v>50</v>
      </c>
      <c r="U50" s="512"/>
      <c r="V50" s="512"/>
      <c r="W50" s="512"/>
      <c r="X50" s="512"/>
      <c r="Y50" s="511"/>
    </row>
    <row r="51" spans="12:25" x14ac:dyDescent="0.2">
      <c r="L51" s="512"/>
      <c r="M51" s="512"/>
      <c r="N51" s="512"/>
      <c r="O51" s="512"/>
      <c r="P51" s="512"/>
      <c r="Q51" s="512"/>
      <c r="R51" s="512"/>
      <c r="S51" s="512">
        <v>49</v>
      </c>
      <c r="T51" s="512">
        <v>50</v>
      </c>
      <c r="U51" s="512"/>
      <c r="V51" s="512"/>
      <c r="W51" s="512"/>
      <c r="X51" s="512"/>
      <c r="Y51" s="511"/>
    </row>
    <row r="52" spans="12:25" x14ac:dyDescent="0.2">
      <c r="L52" s="512"/>
      <c r="M52" s="512"/>
      <c r="N52" s="512"/>
      <c r="O52" s="512"/>
      <c r="P52" s="512"/>
      <c r="Q52" s="512"/>
      <c r="R52" s="512"/>
      <c r="S52" s="512">
        <v>50</v>
      </c>
      <c r="T52" s="512">
        <v>50</v>
      </c>
      <c r="U52" s="512">
        <v>50</v>
      </c>
      <c r="V52" s="512"/>
      <c r="W52" s="512"/>
      <c r="X52" s="512"/>
      <c r="Y52" s="511"/>
    </row>
    <row r="53" spans="12:25" x14ac:dyDescent="0.2">
      <c r="L53" s="512"/>
      <c r="M53" s="512"/>
      <c r="N53" s="512"/>
      <c r="O53" s="512"/>
      <c r="P53" s="512"/>
      <c r="Q53" s="512"/>
      <c r="R53" s="512"/>
      <c r="S53" s="512">
        <v>51</v>
      </c>
      <c r="T53" s="512">
        <v>70</v>
      </c>
      <c r="U53" s="512"/>
      <c r="V53" s="512"/>
      <c r="W53" s="512"/>
      <c r="X53" s="512"/>
      <c r="Y53" s="511"/>
    </row>
    <row r="54" spans="12:25" x14ac:dyDescent="0.2">
      <c r="L54" s="512"/>
      <c r="M54" s="512"/>
      <c r="N54" s="512"/>
      <c r="O54" s="512"/>
      <c r="P54" s="512"/>
      <c r="Q54" s="512"/>
      <c r="R54" s="512"/>
      <c r="S54" s="512">
        <v>52</v>
      </c>
      <c r="T54" s="512">
        <v>70</v>
      </c>
      <c r="U54" s="512"/>
      <c r="V54" s="512"/>
      <c r="W54" s="512"/>
      <c r="X54" s="512"/>
      <c r="Y54" s="511"/>
    </row>
    <row r="55" spans="12:25" x14ac:dyDescent="0.2">
      <c r="L55" s="512"/>
      <c r="M55" s="512"/>
      <c r="N55" s="512"/>
      <c r="O55" s="512"/>
      <c r="P55" s="512"/>
      <c r="Q55" s="512"/>
      <c r="R55" s="512"/>
      <c r="S55" s="512">
        <v>53</v>
      </c>
      <c r="T55" s="512">
        <v>70</v>
      </c>
      <c r="U55" s="512"/>
      <c r="V55" s="512"/>
      <c r="W55" s="512"/>
      <c r="X55" s="512"/>
      <c r="Y55" s="511"/>
    </row>
    <row r="56" spans="12:25" x14ac:dyDescent="0.2">
      <c r="L56" s="512"/>
      <c r="M56" s="512"/>
      <c r="N56" s="512"/>
      <c r="O56" s="512"/>
      <c r="P56" s="512"/>
      <c r="Q56" s="512"/>
      <c r="R56" s="512"/>
      <c r="S56" s="512">
        <v>54</v>
      </c>
      <c r="T56" s="512">
        <v>70</v>
      </c>
      <c r="U56" s="512"/>
      <c r="V56" s="512"/>
      <c r="W56" s="512"/>
      <c r="X56" s="512"/>
      <c r="Y56" s="511"/>
    </row>
    <row r="57" spans="12:25" x14ac:dyDescent="0.2">
      <c r="L57" s="512"/>
      <c r="M57" s="512"/>
      <c r="N57" s="512"/>
      <c r="O57" s="512"/>
      <c r="P57" s="512"/>
      <c r="Q57" s="512"/>
      <c r="R57" s="512"/>
      <c r="S57" s="512">
        <v>55</v>
      </c>
      <c r="T57" s="512">
        <v>70</v>
      </c>
      <c r="U57" s="512"/>
      <c r="V57" s="512"/>
      <c r="W57" s="512"/>
      <c r="X57" s="512"/>
      <c r="Y57" s="511"/>
    </row>
    <row r="58" spans="12:25" x14ac:dyDescent="0.2">
      <c r="L58" s="512"/>
      <c r="M58" s="512"/>
      <c r="N58" s="512"/>
      <c r="O58" s="512"/>
      <c r="P58" s="512"/>
      <c r="Q58" s="512"/>
      <c r="R58" s="512"/>
      <c r="S58" s="512">
        <v>56</v>
      </c>
      <c r="T58" s="512">
        <v>70</v>
      </c>
      <c r="U58" s="512"/>
      <c r="V58" s="512"/>
      <c r="W58" s="512"/>
      <c r="X58" s="512"/>
      <c r="Y58" s="511"/>
    </row>
    <row r="59" spans="12:25" x14ac:dyDescent="0.2">
      <c r="L59" s="512"/>
      <c r="M59" s="512"/>
      <c r="N59" s="512"/>
      <c r="O59" s="512"/>
      <c r="P59" s="512"/>
      <c r="Q59" s="512"/>
      <c r="R59" s="512"/>
      <c r="S59" s="512">
        <v>57</v>
      </c>
      <c r="T59" s="512">
        <v>70</v>
      </c>
      <c r="U59" s="512"/>
      <c r="V59" s="512"/>
      <c r="W59" s="512"/>
      <c r="X59" s="512"/>
      <c r="Y59" s="511"/>
    </row>
    <row r="60" spans="12:25" x14ac:dyDescent="0.2">
      <c r="L60" s="512"/>
      <c r="M60" s="512"/>
      <c r="N60" s="512"/>
      <c r="O60" s="512"/>
      <c r="P60" s="512"/>
      <c r="Q60" s="512"/>
      <c r="R60" s="512"/>
      <c r="S60" s="512">
        <v>58</v>
      </c>
      <c r="T60" s="512">
        <v>70</v>
      </c>
      <c r="U60" s="512"/>
      <c r="V60" s="512"/>
      <c r="W60" s="512"/>
      <c r="X60" s="512"/>
      <c r="Y60" s="511"/>
    </row>
    <row r="61" spans="12:25" x14ac:dyDescent="0.2">
      <c r="L61" s="512"/>
      <c r="M61" s="512"/>
      <c r="N61" s="512"/>
      <c r="O61" s="512"/>
      <c r="P61" s="512"/>
      <c r="Q61" s="512"/>
      <c r="R61" s="512"/>
      <c r="S61" s="512">
        <v>59</v>
      </c>
      <c r="T61" s="512">
        <v>70</v>
      </c>
      <c r="U61" s="512"/>
      <c r="V61" s="512"/>
      <c r="W61" s="512"/>
      <c r="X61" s="512"/>
      <c r="Y61" s="511"/>
    </row>
    <row r="62" spans="12:25" x14ac:dyDescent="0.2">
      <c r="L62" s="512"/>
      <c r="M62" s="512"/>
      <c r="N62" s="512"/>
      <c r="O62" s="512"/>
      <c r="P62" s="512"/>
      <c r="Q62" s="512"/>
      <c r="R62" s="512"/>
      <c r="S62" s="512">
        <v>60</v>
      </c>
      <c r="T62" s="512">
        <v>70</v>
      </c>
      <c r="U62" s="512"/>
      <c r="V62" s="512"/>
      <c r="W62" s="512"/>
      <c r="X62" s="512"/>
      <c r="Y62" s="511"/>
    </row>
    <row r="63" spans="12:25" x14ac:dyDescent="0.2">
      <c r="L63" s="512"/>
      <c r="M63" s="512"/>
      <c r="N63" s="512"/>
      <c r="O63" s="512"/>
      <c r="P63" s="512"/>
      <c r="Q63" s="512"/>
      <c r="R63" s="512"/>
      <c r="S63" s="512">
        <v>61</v>
      </c>
      <c r="T63" s="512">
        <v>70</v>
      </c>
      <c r="U63" s="512"/>
      <c r="V63" s="512"/>
      <c r="W63" s="512"/>
      <c r="X63" s="512"/>
      <c r="Y63" s="511"/>
    </row>
    <row r="64" spans="12:25" x14ac:dyDescent="0.2">
      <c r="L64" s="512"/>
      <c r="M64" s="512"/>
      <c r="N64" s="512"/>
      <c r="O64" s="512"/>
      <c r="P64" s="512"/>
      <c r="Q64" s="512"/>
      <c r="R64" s="512"/>
      <c r="S64" s="512">
        <v>62</v>
      </c>
      <c r="T64" s="512">
        <v>70</v>
      </c>
      <c r="U64" s="512"/>
      <c r="V64" s="512"/>
      <c r="W64" s="512"/>
      <c r="X64" s="512"/>
      <c r="Y64" s="511"/>
    </row>
    <row r="65" spans="12:25" x14ac:dyDescent="0.2">
      <c r="L65" s="512"/>
      <c r="M65" s="512"/>
      <c r="N65" s="512"/>
      <c r="O65" s="512"/>
      <c r="P65" s="512"/>
      <c r="Q65" s="512"/>
      <c r="R65" s="512"/>
      <c r="S65" s="512">
        <v>63</v>
      </c>
      <c r="T65" s="512">
        <v>70</v>
      </c>
      <c r="U65" s="512"/>
      <c r="V65" s="512"/>
      <c r="W65" s="512"/>
      <c r="X65" s="512"/>
      <c r="Y65" s="511"/>
    </row>
    <row r="66" spans="12:25" x14ac:dyDescent="0.2">
      <c r="L66" s="512"/>
      <c r="M66" s="512"/>
      <c r="N66" s="512"/>
      <c r="O66" s="512"/>
      <c r="P66" s="512"/>
      <c r="Q66" s="512"/>
      <c r="R66" s="512"/>
      <c r="S66" s="512">
        <v>64</v>
      </c>
      <c r="T66" s="512">
        <v>70</v>
      </c>
      <c r="U66" s="512"/>
      <c r="V66" s="512"/>
      <c r="W66" s="512"/>
      <c r="X66" s="512"/>
      <c r="Y66" s="511"/>
    </row>
    <row r="67" spans="12:25" x14ac:dyDescent="0.2">
      <c r="L67" s="512"/>
      <c r="M67" s="512"/>
      <c r="N67" s="512"/>
      <c r="O67" s="512"/>
      <c r="P67" s="512"/>
      <c r="Q67" s="512"/>
      <c r="R67" s="512"/>
      <c r="S67" s="512">
        <v>65</v>
      </c>
      <c r="T67" s="512">
        <v>70</v>
      </c>
      <c r="U67" s="512"/>
      <c r="V67" s="512"/>
      <c r="W67" s="512"/>
      <c r="X67" s="512"/>
      <c r="Y67" s="511"/>
    </row>
    <row r="68" spans="12:25" x14ac:dyDescent="0.2">
      <c r="L68" s="512"/>
      <c r="M68" s="512"/>
      <c r="N68" s="512"/>
      <c r="O68" s="512"/>
      <c r="P68" s="512"/>
      <c r="Q68" s="512"/>
      <c r="R68" s="512"/>
      <c r="S68" s="512">
        <v>66</v>
      </c>
      <c r="T68" s="512">
        <v>70</v>
      </c>
      <c r="U68" s="512"/>
      <c r="V68" s="512"/>
      <c r="W68" s="512"/>
      <c r="X68" s="512"/>
      <c r="Y68" s="511"/>
    </row>
    <row r="69" spans="12:25" x14ac:dyDescent="0.2">
      <c r="L69" s="512"/>
      <c r="M69" s="512"/>
      <c r="N69" s="512"/>
      <c r="O69" s="512"/>
      <c r="P69" s="512"/>
      <c r="Q69" s="512"/>
      <c r="R69" s="512"/>
      <c r="S69" s="512">
        <v>67</v>
      </c>
      <c r="T69" s="512">
        <v>70</v>
      </c>
      <c r="U69" s="512"/>
      <c r="V69" s="512"/>
      <c r="W69" s="512"/>
      <c r="X69" s="512"/>
      <c r="Y69" s="511"/>
    </row>
    <row r="70" spans="12:25" x14ac:dyDescent="0.2">
      <c r="L70" s="512"/>
      <c r="M70" s="512"/>
      <c r="N70" s="512"/>
      <c r="O70" s="512"/>
      <c r="P70" s="512"/>
      <c r="Q70" s="512"/>
      <c r="R70" s="512"/>
      <c r="S70" s="512">
        <v>68</v>
      </c>
      <c r="T70" s="512">
        <v>70</v>
      </c>
      <c r="U70" s="512"/>
      <c r="V70" s="512"/>
      <c r="W70" s="512"/>
      <c r="X70" s="512"/>
      <c r="Y70" s="511"/>
    </row>
    <row r="71" spans="12:25" x14ac:dyDescent="0.2">
      <c r="L71" s="512"/>
      <c r="M71" s="512"/>
      <c r="N71" s="512"/>
      <c r="O71" s="512"/>
      <c r="P71" s="512"/>
      <c r="Q71" s="512"/>
      <c r="R71" s="512"/>
      <c r="S71" s="512">
        <v>69</v>
      </c>
      <c r="T71" s="512">
        <v>70</v>
      </c>
      <c r="U71" s="512"/>
      <c r="V71" s="512"/>
      <c r="W71" s="512"/>
      <c r="X71" s="512"/>
      <c r="Y71" s="511"/>
    </row>
    <row r="72" spans="12:25" x14ac:dyDescent="0.2">
      <c r="L72" s="512"/>
      <c r="M72" s="512"/>
      <c r="N72" s="512"/>
      <c r="O72" s="512"/>
      <c r="P72" s="512"/>
      <c r="Q72" s="512"/>
      <c r="R72" s="512"/>
      <c r="S72" s="512">
        <v>70</v>
      </c>
      <c r="T72" s="512">
        <v>70</v>
      </c>
      <c r="U72" s="512">
        <v>70</v>
      </c>
      <c r="V72" s="512"/>
      <c r="W72" s="512"/>
      <c r="X72" s="512"/>
      <c r="Y72" s="511"/>
    </row>
    <row r="73" spans="12:25" x14ac:dyDescent="0.2">
      <c r="L73" s="512"/>
      <c r="M73" s="512"/>
      <c r="N73" s="512"/>
      <c r="O73" s="512"/>
      <c r="P73" s="512"/>
      <c r="Q73" s="512"/>
      <c r="R73" s="512"/>
      <c r="S73" s="512">
        <v>71</v>
      </c>
      <c r="T73" s="512">
        <v>100</v>
      </c>
      <c r="U73" s="512"/>
      <c r="V73" s="512"/>
      <c r="W73" s="512"/>
      <c r="X73" s="512"/>
      <c r="Y73" s="511"/>
    </row>
    <row r="74" spans="12:25" x14ac:dyDescent="0.2">
      <c r="L74" s="512"/>
      <c r="M74" s="512"/>
      <c r="N74" s="512"/>
      <c r="O74" s="512"/>
      <c r="P74" s="512"/>
      <c r="Q74" s="512"/>
      <c r="R74" s="512"/>
      <c r="S74" s="512">
        <v>72</v>
      </c>
      <c r="T74" s="512">
        <v>100</v>
      </c>
      <c r="U74" s="512"/>
      <c r="V74" s="512"/>
      <c r="W74" s="512"/>
      <c r="X74" s="512"/>
      <c r="Y74" s="511"/>
    </row>
    <row r="75" spans="12:25" x14ac:dyDescent="0.2">
      <c r="L75" s="512"/>
      <c r="M75" s="512"/>
      <c r="N75" s="512"/>
      <c r="O75" s="512"/>
      <c r="P75" s="512"/>
      <c r="Q75" s="512"/>
      <c r="R75" s="512"/>
      <c r="S75" s="512">
        <v>73</v>
      </c>
      <c r="T75" s="512">
        <v>100</v>
      </c>
      <c r="U75" s="512"/>
      <c r="V75" s="512"/>
      <c r="W75" s="512"/>
      <c r="X75" s="512"/>
      <c r="Y75" s="511"/>
    </row>
    <row r="76" spans="12:25" x14ac:dyDescent="0.2">
      <c r="L76" s="512"/>
      <c r="M76" s="512"/>
      <c r="N76" s="512"/>
      <c r="O76" s="512"/>
      <c r="P76" s="512"/>
      <c r="Q76" s="512"/>
      <c r="R76" s="512"/>
      <c r="S76" s="512">
        <v>74</v>
      </c>
      <c r="T76" s="512">
        <v>100</v>
      </c>
      <c r="U76" s="512"/>
      <c r="V76" s="512"/>
      <c r="W76" s="512"/>
      <c r="X76" s="512"/>
      <c r="Y76" s="511"/>
    </row>
    <row r="77" spans="12:25" x14ac:dyDescent="0.2">
      <c r="L77" s="512"/>
      <c r="M77" s="512"/>
      <c r="N77" s="512"/>
      <c r="O77" s="512"/>
      <c r="P77" s="512"/>
      <c r="Q77" s="512"/>
      <c r="R77" s="512"/>
      <c r="S77" s="512">
        <v>75</v>
      </c>
      <c r="T77" s="512">
        <v>100</v>
      </c>
      <c r="U77" s="512"/>
      <c r="V77" s="512"/>
      <c r="W77" s="512"/>
      <c r="X77" s="512"/>
      <c r="Y77" s="511"/>
    </row>
    <row r="78" spans="12:25" x14ac:dyDescent="0.2">
      <c r="L78" s="512"/>
      <c r="M78" s="512"/>
      <c r="N78" s="512"/>
      <c r="O78" s="512"/>
      <c r="P78" s="512"/>
      <c r="Q78" s="512"/>
      <c r="R78" s="512"/>
      <c r="S78" s="512">
        <v>76</v>
      </c>
      <c r="T78" s="512">
        <v>100</v>
      </c>
      <c r="U78" s="512"/>
      <c r="V78" s="512"/>
      <c r="W78" s="512"/>
      <c r="X78" s="512"/>
      <c r="Y78" s="511"/>
    </row>
    <row r="79" spans="12:25" x14ac:dyDescent="0.2">
      <c r="L79" s="512"/>
      <c r="M79" s="512"/>
      <c r="N79" s="512"/>
      <c r="O79" s="512"/>
      <c r="P79" s="512"/>
      <c r="Q79" s="512"/>
      <c r="R79" s="512"/>
      <c r="S79" s="512">
        <v>77</v>
      </c>
      <c r="T79" s="512">
        <v>100</v>
      </c>
      <c r="U79" s="512"/>
      <c r="V79" s="512"/>
      <c r="W79" s="512"/>
      <c r="X79" s="512"/>
      <c r="Y79" s="511"/>
    </row>
    <row r="80" spans="12:25" x14ac:dyDescent="0.2">
      <c r="L80" s="512"/>
      <c r="M80" s="512"/>
      <c r="N80" s="512"/>
      <c r="O80" s="512"/>
      <c r="P80" s="512"/>
      <c r="Q80" s="512"/>
      <c r="R80" s="512"/>
      <c r="S80" s="512">
        <v>78</v>
      </c>
      <c r="T80" s="512">
        <v>100</v>
      </c>
      <c r="U80" s="512"/>
      <c r="V80" s="512"/>
      <c r="W80" s="512"/>
      <c r="X80" s="512"/>
      <c r="Y80" s="511"/>
    </row>
    <row r="81" spans="12:25" x14ac:dyDescent="0.2">
      <c r="L81" s="512"/>
      <c r="M81" s="512"/>
      <c r="N81" s="512"/>
      <c r="O81" s="512"/>
      <c r="P81" s="512"/>
      <c r="Q81" s="512"/>
      <c r="R81" s="512"/>
      <c r="S81" s="512">
        <v>79</v>
      </c>
      <c r="T81" s="512">
        <v>100</v>
      </c>
      <c r="U81" s="512"/>
      <c r="V81" s="512"/>
      <c r="W81" s="512"/>
      <c r="X81" s="512"/>
      <c r="Y81" s="511"/>
    </row>
    <row r="82" spans="12:25" x14ac:dyDescent="0.2">
      <c r="L82" s="512"/>
      <c r="M82" s="512"/>
      <c r="N82" s="512"/>
      <c r="O82" s="512"/>
      <c r="P82" s="512"/>
      <c r="Q82" s="512"/>
      <c r="R82" s="512"/>
      <c r="S82" s="512">
        <v>80</v>
      </c>
      <c r="T82" s="512">
        <v>100</v>
      </c>
      <c r="U82" s="512"/>
      <c r="V82" s="512"/>
      <c r="W82" s="512"/>
      <c r="X82" s="512"/>
      <c r="Y82" s="511"/>
    </row>
    <row r="83" spans="12:25" x14ac:dyDescent="0.2">
      <c r="L83" s="512"/>
      <c r="M83" s="512"/>
      <c r="N83" s="512"/>
      <c r="O83" s="512"/>
      <c r="P83" s="512"/>
      <c r="Q83" s="512"/>
      <c r="R83" s="512"/>
      <c r="S83" s="512">
        <v>81</v>
      </c>
      <c r="T83" s="512">
        <v>100</v>
      </c>
      <c r="U83" s="512"/>
      <c r="V83" s="512"/>
      <c r="W83" s="512"/>
      <c r="X83" s="512"/>
      <c r="Y83" s="511"/>
    </row>
    <row r="84" spans="12:25" x14ac:dyDescent="0.2">
      <c r="L84" s="512"/>
      <c r="M84" s="512"/>
      <c r="N84" s="512"/>
      <c r="O84" s="512"/>
      <c r="P84" s="512"/>
      <c r="Q84" s="512"/>
      <c r="R84" s="512"/>
      <c r="S84" s="512">
        <v>82</v>
      </c>
      <c r="T84" s="512">
        <v>100</v>
      </c>
      <c r="U84" s="512"/>
      <c r="V84" s="512"/>
      <c r="W84" s="512"/>
      <c r="X84" s="512"/>
      <c r="Y84" s="511"/>
    </row>
    <row r="85" spans="12:25" x14ac:dyDescent="0.2">
      <c r="L85" s="512"/>
      <c r="M85" s="512"/>
      <c r="N85" s="512"/>
      <c r="O85" s="512"/>
      <c r="P85" s="512"/>
      <c r="Q85" s="512"/>
      <c r="R85" s="512"/>
      <c r="S85" s="512">
        <v>83</v>
      </c>
      <c r="T85" s="512">
        <v>100</v>
      </c>
      <c r="U85" s="512"/>
      <c r="V85" s="512"/>
      <c r="W85" s="512"/>
      <c r="X85" s="512"/>
      <c r="Y85" s="511"/>
    </row>
    <row r="86" spans="12:25" x14ac:dyDescent="0.2">
      <c r="L86" s="512"/>
      <c r="M86" s="512"/>
      <c r="N86" s="512"/>
      <c r="O86" s="512"/>
      <c r="P86" s="512"/>
      <c r="Q86" s="512"/>
      <c r="R86" s="512"/>
      <c r="S86" s="512">
        <v>84</v>
      </c>
      <c r="T86" s="512">
        <v>100</v>
      </c>
      <c r="U86" s="512"/>
      <c r="V86" s="512"/>
      <c r="W86" s="512"/>
      <c r="X86" s="512"/>
      <c r="Y86" s="511"/>
    </row>
    <row r="87" spans="12:25" x14ac:dyDescent="0.2">
      <c r="L87" s="512"/>
      <c r="M87" s="512"/>
      <c r="N87" s="512"/>
      <c r="O87" s="512"/>
      <c r="P87" s="512"/>
      <c r="Q87" s="512"/>
      <c r="R87" s="512"/>
      <c r="S87" s="512">
        <v>85</v>
      </c>
      <c r="T87" s="512">
        <v>100</v>
      </c>
      <c r="U87" s="512"/>
      <c r="V87" s="512"/>
      <c r="W87" s="512"/>
      <c r="X87" s="512"/>
      <c r="Y87" s="511"/>
    </row>
    <row r="88" spans="12:25" x14ac:dyDescent="0.2">
      <c r="L88" s="512"/>
      <c r="M88" s="512"/>
      <c r="N88" s="512"/>
      <c r="O88" s="512"/>
      <c r="P88" s="512"/>
      <c r="Q88" s="512"/>
      <c r="R88" s="512"/>
      <c r="S88" s="512">
        <v>86</v>
      </c>
      <c r="T88" s="512">
        <v>100</v>
      </c>
      <c r="U88" s="512"/>
      <c r="V88" s="512"/>
      <c r="W88" s="512"/>
      <c r="X88" s="512"/>
      <c r="Y88" s="511"/>
    </row>
    <row r="89" spans="12:25" x14ac:dyDescent="0.2">
      <c r="L89" s="512"/>
      <c r="M89" s="512"/>
      <c r="N89" s="512"/>
      <c r="O89" s="512"/>
      <c r="P89" s="512"/>
      <c r="Q89" s="512"/>
      <c r="R89" s="512"/>
      <c r="S89" s="512">
        <v>87</v>
      </c>
      <c r="T89" s="512">
        <v>100</v>
      </c>
      <c r="U89" s="512"/>
      <c r="V89" s="512"/>
      <c r="W89" s="512"/>
      <c r="X89" s="512"/>
      <c r="Y89" s="511"/>
    </row>
    <row r="90" spans="12:25" x14ac:dyDescent="0.2">
      <c r="L90" s="512"/>
      <c r="M90" s="512"/>
      <c r="N90" s="512"/>
      <c r="O90" s="512"/>
      <c r="P90" s="512"/>
      <c r="Q90" s="512"/>
      <c r="R90" s="512"/>
      <c r="S90" s="512">
        <v>88</v>
      </c>
      <c r="T90" s="512">
        <v>100</v>
      </c>
      <c r="U90" s="512"/>
      <c r="V90" s="512"/>
      <c r="W90" s="512"/>
      <c r="X90" s="512"/>
      <c r="Y90" s="511"/>
    </row>
    <row r="91" spans="12:25" x14ac:dyDescent="0.2">
      <c r="L91" s="512"/>
      <c r="M91" s="512"/>
      <c r="N91" s="512"/>
      <c r="O91" s="512"/>
      <c r="P91" s="512"/>
      <c r="Q91" s="512"/>
      <c r="R91" s="512"/>
      <c r="S91" s="512">
        <v>89</v>
      </c>
      <c r="T91" s="512">
        <v>100</v>
      </c>
      <c r="U91" s="512"/>
      <c r="V91" s="512"/>
      <c r="W91" s="512"/>
      <c r="X91" s="512"/>
      <c r="Y91" s="511"/>
    </row>
    <row r="92" spans="12:25" x14ac:dyDescent="0.2">
      <c r="L92" s="512"/>
      <c r="M92" s="512"/>
      <c r="N92" s="512"/>
      <c r="O92" s="512"/>
      <c r="P92" s="512"/>
      <c r="Q92" s="512"/>
      <c r="R92" s="512"/>
      <c r="S92" s="512">
        <v>90</v>
      </c>
      <c r="T92" s="512">
        <v>100</v>
      </c>
      <c r="U92" s="512"/>
      <c r="V92" s="512"/>
      <c r="W92" s="512"/>
      <c r="X92" s="512"/>
      <c r="Y92" s="511"/>
    </row>
    <row r="93" spans="12:25" x14ac:dyDescent="0.2">
      <c r="L93" s="512"/>
      <c r="M93" s="512"/>
      <c r="N93" s="512"/>
      <c r="O93" s="512"/>
      <c r="P93" s="512"/>
      <c r="Q93" s="512"/>
      <c r="R93" s="512"/>
      <c r="S93" s="512">
        <v>91</v>
      </c>
      <c r="T93" s="512">
        <v>100</v>
      </c>
      <c r="U93" s="512"/>
      <c r="V93" s="512"/>
      <c r="W93" s="512"/>
      <c r="X93" s="512"/>
      <c r="Y93" s="511"/>
    </row>
    <row r="94" spans="12:25" x14ac:dyDescent="0.2">
      <c r="L94" s="512"/>
      <c r="M94" s="512"/>
      <c r="N94" s="512"/>
      <c r="O94" s="512"/>
      <c r="P94" s="512"/>
      <c r="Q94" s="512"/>
      <c r="R94" s="512"/>
      <c r="S94" s="512">
        <v>92</v>
      </c>
      <c r="T94" s="512">
        <v>100</v>
      </c>
      <c r="U94" s="512"/>
      <c r="V94" s="512"/>
      <c r="W94" s="512"/>
      <c r="X94" s="512"/>
      <c r="Y94" s="511"/>
    </row>
    <row r="95" spans="12:25" x14ac:dyDescent="0.2">
      <c r="L95" s="512"/>
      <c r="M95" s="512"/>
      <c r="N95" s="512"/>
      <c r="O95" s="512"/>
      <c r="P95" s="512"/>
      <c r="Q95" s="512"/>
      <c r="R95" s="512"/>
      <c r="S95" s="512">
        <v>93</v>
      </c>
      <c r="T95" s="512">
        <v>100</v>
      </c>
      <c r="U95" s="512"/>
      <c r="V95" s="512"/>
      <c r="W95" s="512"/>
      <c r="X95" s="512"/>
      <c r="Y95" s="511"/>
    </row>
    <row r="96" spans="12:25" x14ac:dyDescent="0.2">
      <c r="L96" s="512"/>
      <c r="M96" s="512"/>
      <c r="N96" s="512"/>
      <c r="O96" s="512"/>
      <c r="P96" s="512"/>
      <c r="Q96" s="512"/>
      <c r="R96" s="512"/>
      <c r="S96" s="512">
        <v>94</v>
      </c>
      <c r="T96" s="512">
        <v>100</v>
      </c>
      <c r="U96" s="512"/>
      <c r="V96" s="512"/>
      <c r="W96" s="512"/>
      <c r="X96" s="512"/>
      <c r="Y96" s="511"/>
    </row>
    <row r="97" spans="12:25" x14ac:dyDescent="0.2">
      <c r="L97" s="512"/>
      <c r="M97" s="512"/>
      <c r="N97" s="512"/>
      <c r="O97" s="512"/>
      <c r="P97" s="512"/>
      <c r="Q97" s="512"/>
      <c r="R97" s="512"/>
      <c r="S97" s="512">
        <v>95</v>
      </c>
      <c r="T97" s="512">
        <v>100</v>
      </c>
      <c r="U97" s="512"/>
      <c r="V97" s="512"/>
      <c r="W97" s="512"/>
      <c r="X97" s="512"/>
      <c r="Y97" s="511"/>
    </row>
    <row r="98" spans="12:25" x14ac:dyDescent="0.2">
      <c r="L98" s="512"/>
      <c r="M98" s="512"/>
      <c r="N98" s="512"/>
      <c r="O98" s="512"/>
      <c r="P98" s="512"/>
      <c r="Q98" s="512"/>
      <c r="R98" s="512"/>
      <c r="S98" s="512">
        <v>96</v>
      </c>
      <c r="T98" s="512">
        <v>100</v>
      </c>
      <c r="U98" s="512"/>
      <c r="V98" s="512"/>
      <c r="W98" s="512"/>
      <c r="X98" s="512"/>
      <c r="Y98" s="511"/>
    </row>
    <row r="99" spans="12:25" x14ac:dyDescent="0.2">
      <c r="L99" s="512"/>
      <c r="M99" s="512"/>
      <c r="N99" s="512"/>
      <c r="O99" s="512"/>
      <c r="P99" s="512"/>
      <c r="Q99" s="512"/>
      <c r="R99" s="512"/>
      <c r="S99" s="512">
        <v>97</v>
      </c>
      <c r="T99" s="512">
        <v>100</v>
      </c>
      <c r="U99" s="512"/>
      <c r="V99" s="512"/>
      <c r="W99" s="512"/>
      <c r="X99" s="512"/>
      <c r="Y99" s="511"/>
    </row>
    <row r="100" spans="12:25" x14ac:dyDescent="0.2">
      <c r="L100" s="512"/>
      <c r="M100" s="512"/>
      <c r="N100" s="512"/>
      <c r="O100" s="512"/>
      <c r="P100" s="512"/>
      <c r="Q100" s="512"/>
      <c r="R100" s="512"/>
      <c r="S100" s="512">
        <v>98</v>
      </c>
      <c r="T100" s="512">
        <v>100</v>
      </c>
      <c r="U100" s="512"/>
      <c r="V100" s="512"/>
      <c r="W100" s="512"/>
      <c r="X100" s="512"/>
      <c r="Y100" s="511"/>
    </row>
    <row r="101" spans="12:25" x14ac:dyDescent="0.2">
      <c r="L101" s="512"/>
      <c r="M101" s="512"/>
      <c r="N101" s="512"/>
      <c r="O101" s="512"/>
      <c r="P101" s="512"/>
      <c r="Q101" s="512"/>
      <c r="R101" s="512"/>
      <c r="S101" s="512">
        <v>99</v>
      </c>
      <c r="T101" s="512">
        <v>100</v>
      </c>
      <c r="U101" s="512"/>
      <c r="V101" s="512"/>
      <c r="W101" s="512"/>
      <c r="X101" s="512"/>
      <c r="Y101" s="511"/>
    </row>
    <row r="102" spans="12:25" x14ac:dyDescent="0.2">
      <c r="L102" s="512"/>
      <c r="M102" s="512"/>
      <c r="N102" s="512"/>
      <c r="O102" s="512"/>
      <c r="P102" s="512"/>
      <c r="Q102" s="512"/>
      <c r="R102" s="512"/>
      <c r="S102" s="512">
        <v>100</v>
      </c>
      <c r="T102" s="512">
        <v>100</v>
      </c>
      <c r="U102" s="512">
        <v>100</v>
      </c>
      <c r="V102" s="512"/>
      <c r="W102" s="512"/>
      <c r="X102" s="512"/>
      <c r="Y102" s="511"/>
    </row>
    <row r="103" spans="12:25" x14ac:dyDescent="0.2">
      <c r="L103" s="512"/>
      <c r="M103" s="512"/>
      <c r="N103" s="512"/>
      <c r="O103" s="512"/>
      <c r="P103" s="512"/>
      <c r="Q103" s="512"/>
      <c r="R103" s="512"/>
      <c r="S103" s="512">
        <v>101</v>
      </c>
      <c r="T103" s="512">
        <v>150</v>
      </c>
      <c r="U103" s="512"/>
      <c r="V103" s="512"/>
      <c r="W103" s="512"/>
      <c r="X103" s="512"/>
      <c r="Y103" s="511"/>
    </row>
    <row r="104" spans="12:25" x14ac:dyDescent="0.2">
      <c r="L104" s="512"/>
      <c r="M104" s="512"/>
      <c r="N104" s="512"/>
      <c r="O104" s="512"/>
      <c r="P104" s="512"/>
      <c r="Q104" s="512"/>
      <c r="R104" s="512"/>
      <c r="S104" s="512">
        <v>102</v>
      </c>
      <c r="T104" s="512">
        <v>150</v>
      </c>
      <c r="U104" s="512"/>
      <c r="V104" s="512"/>
      <c r="W104" s="512"/>
      <c r="X104" s="512"/>
      <c r="Y104" s="511"/>
    </row>
    <row r="105" spans="12:25" x14ac:dyDescent="0.2">
      <c r="L105" s="512"/>
      <c r="M105" s="512"/>
      <c r="N105" s="512"/>
      <c r="O105" s="512"/>
      <c r="P105" s="512"/>
      <c r="Q105" s="512"/>
      <c r="R105" s="512"/>
      <c r="S105" s="512">
        <v>103</v>
      </c>
      <c r="T105" s="512">
        <v>150</v>
      </c>
      <c r="U105" s="512"/>
      <c r="V105" s="512"/>
      <c r="W105" s="512"/>
      <c r="X105" s="512"/>
      <c r="Y105" s="511"/>
    </row>
    <row r="106" spans="12:25" x14ac:dyDescent="0.2">
      <c r="L106" s="512"/>
      <c r="M106" s="512"/>
      <c r="N106" s="512"/>
      <c r="O106" s="512"/>
      <c r="P106" s="512"/>
      <c r="Q106" s="512"/>
      <c r="R106" s="512"/>
      <c r="S106" s="512">
        <v>104</v>
      </c>
      <c r="T106" s="512">
        <v>150</v>
      </c>
      <c r="U106" s="512"/>
      <c r="V106" s="512"/>
      <c r="W106" s="512"/>
      <c r="X106" s="512"/>
      <c r="Y106" s="511"/>
    </row>
    <row r="107" spans="12:25" x14ac:dyDescent="0.2">
      <c r="L107" s="512"/>
      <c r="M107" s="512"/>
      <c r="N107" s="512"/>
      <c r="O107" s="512"/>
      <c r="P107" s="512"/>
      <c r="Q107" s="512"/>
      <c r="R107" s="512"/>
      <c r="S107" s="512">
        <v>105</v>
      </c>
      <c r="T107" s="512">
        <v>150</v>
      </c>
      <c r="U107" s="512"/>
      <c r="V107" s="512"/>
      <c r="W107" s="512"/>
      <c r="X107" s="512"/>
      <c r="Y107" s="511"/>
    </row>
    <row r="108" spans="12:25" x14ac:dyDescent="0.2">
      <c r="L108" s="512"/>
      <c r="M108" s="512"/>
      <c r="N108" s="512"/>
      <c r="O108" s="512"/>
      <c r="P108" s="512"/>
      <c r="Q108" s="512"/>
      <c r="R108" s="512"/>
      <c r="S108" s="512">
        <v>106</v>
      </c>
      <c r="T108" s="512">
        <v>150</v>
      </c>
      <c r="U108" s="512"/>
      <c r="V108" s="512"/>
      <c r="W108" s="512"/>
      <c r="X108" s="512"/>
      <c r="Y108" s="511"/>
    </row>
    <row r="109" spans="12:25" x14ac:dyDescent="0.2">
      <c r="L109" s="512"/>
      <c r="M109" s="512"/>
      <c r="N109" s="512"/>
      <c r="O109" s="512"/>
      <c r="P109" s="512"/>
      <c r="Q109" s="512"/>
      <c r="R109" s="512"/>
      <c r="S109" s="512">
        <v>107</v>
      </c>
      <c r="T109" s="512">
        <v>150</v>
      </c>
      <c r="U109" s="512"/>
      <c r="V109" s="512"/>
      <c r="W109" s="512"/>
      <c r="X109" s="512"/>
      <c r="Y109" s="511"/>
    </row>
    <row r="110" spans="12:25" x14ac:dyDescent="0.2">
      <c r="L110" s="512"/>
      <c r="M110" s="512"/>
      <c r="N110" s="512"/>
      <c r="O110" s="512"/>
      <c r="P110" s="512"/>
      <c r="Q110" s="512"/>
      <c r="R110" s="512"/>
      <c r="S110" s="512">
        <v>108</v>
      </c>
      <c r="T110" s="512">
        <v>150</v>
      </c>
      <c r="U110" s="512"/>
      <c r="V110" s="512"/>
      <c r="W110" s="512"/>
      <c r="X110" s="512"/>
      <c r="Y110" s="511"/>
    </row>
    <row r="111" spans="12:25" x14ac:dyDescent="0.2">
      <c r="L111" s="512"/>
      <c r="M111" s="512"/>
      <c r="N111" s="512"/>
      <c r="O111" s="512"/>
      <c r="P111" s="512"/>
      <c r="Q111" s="512"/>
      <c r="R111" s="512"/>
      <c r="S111" s="512">
        <v>109</v>
      </c>
      <c r="T111" s="512">
        <v>150</v>
      </c>
      <c r="U111" s="512"/>
      <c r="V111" s="512"/>
      <c r="W111" s="512"/>
      <c r="X111" s="512"/>
      <c r="Y111" s="511"/>
    </row>
    <row r="112" spans="12:25" x14ac:dyDescent="0.2">
      <c r="L112" s="512"/>
      <c r="M112" s="512"/>
      <c r="N112" s="512"/>
      <c r="O112" s="512"/>
      <c r="P112" s="512"/>
      <c r="Q112" s="512"/>
      <c r="R112" s="512"/>
      <c r="S112" s="512">
        <v>110</v>
      </c>
      <c r="T112" s="512">
        <v>150</v>
      </c>
      <c r="U112" s="512"/>
      <c r="V112" s="512"/>
      <c r="W112" s="512"/>
      <c r="X112" s="512"/>
      <c r="Y112" s="511"/>
    </row>
    <row r="113" spans="12:25" x14ac:dyDescent="0.2">
      <c r="L113" s="512"/>
      <c r="M113" s="512"/>
      <c r="N113" s="512"/>
      <c r="O113" s="512"/>
      <c r="P113" s="512"/>
      <c r="Q113" s="512"/>
      <c r="R113" s="512"/>
      <c r="S113" s="512">
        <v>111</v>
      </c>
      <c r="T113" s="512">
        <v>150</v>
      </c>
      <c r="U113" s="512"/>
      <c r="V113" s="512"/>
      <c r="W113" s="512"/>
      <c r="X113" s="512"/>
      <c r="Y113" s="511"/>
    </row>
    <row r="114" spans="12:25" x14ac:dyDescent="0.2">
      <c r="L114" s="512"/>
      <c r="M114" s="512"/>
      <c r="N114" s="512"/>
      <c r="O114" s="512"/>
      <c r="P114" s="512"/>
      <c r="Q114" s="512"/>
      <c r="R114" s="512"/>
      <c r="S114" s="512">
        <v>112</v>
      </c>
      <c r="T114" s="512">
        <v>150</v>
      </c>
      <c r="U114" s="512"/>
      <c r="V114" s="512"/>
      <c r="W114" s="512"/>
      <c r="X114" s="512"/>
      <c r="Y114" s="511"/>
    </row>
    <row r="115" spans="12:25" x14ac:dyDescent="0.2">
      <c r="L115" s="512"/>
      <c r="M115" s="512"/>
      <c r="N115" s="512"/>
      <c r="O115" s="512"/>
      <c r="P115" s="512"/>
      <c r="Q115" s="512"/>
      <c r="R115" s="512"/>
      <c r="S115" s="512">
        <v>113</v>
      </c>
      <c r="T115" s="512">
        <v>150</v>
      </c>
      <c r="U115" s="512"/>
      <c r="V115" s="512"/>
      <c r="W115" s="512"/>
      <c r="X115" s="512"/>
      <c r="Y115" s="511"/>
    </row>
    <row r="116" spans="12:25" x14ac:dyDescent="0.2">
      <c r="L116" s="512"/>
      <c r="M116" s="512"/>
      <c r="N116" s="512"/>
      <c r="O116" s="512"/>
      <c r="P116" s="512"/>
      <c r="Q116" s="512"/>
      <c r="R116" s="512"/>
      <c r="S116" s="512">
        <v>114</v>
      </c>
      <c r="T116" s="512">
        <v>150</v>
      </c>
      <c r="U116" s="512"/>
      <c r="V116" s="512"/>
      <c r="W116" s="512"/>
      <c r="X116" s="512"/>
      <c r="Y116" s="511"/>
    </row>
    <row r="117" spans="12:25" x14ac:dyDescent="0.2">
      <c r="L117" s="512"/>
      <c r="M117" s="512"/>
      <c r="N117" s="512"/>
      <c r="O117" s="512"/>
      <c r="P117" s="512"/>
      <c r="Q117" s="512"/>
      <c r="R117" s="512"/>
      <c r="S117" s="512">
        <v>115</v>
      </c>
      <c r="T117" s="512">
        <v>150</v>
      </c>
      <c r="U117" s="512"/>
      <c r="V117" s="512"/>
      <c r="W117" s="512"/>
      <c r="X117" s="512"/>
      <c r="Y117" s="511"/>
    </row>
    <row r="118" spans="12:25" x14ac:dyDescent="0.2">
      <c r="L118" s="512"/>
      <c r="M118" s="512"/>
      <c r="N118" s="512"/>
      <c r="O118" s="512"/>
      <c r="P118" s="512"/>
      <c r="Q118" s="512"/>
      <c r="R118" s="512"/>
      <c r="S118" s="512">
        <v>116</v>
      </c>
      <c r="T118" s="512">
        <v>150</v>
      </c>
      <c r="U118" s="512"/>
      <c r="V118" s="512"/>
      <c r="W118" s="512"/>
      <c r="X118" s="512"/>
      <c r="Y118" s="511"/>
    </row>
    <row r="119" spans="12:25" x14ac:dyDescent="0.2">
      <c r="L119" s="512"/>
      <c r="M119" s="512"/>
      <c r="N119" s="512"/>
      <c r="O119" s="512"/>
      <c r="P119" s="512"/>
      <c r="Q119" s="512"/>
      <c r="R119" s="512"/>
      <c r="S119" s="512">
        <v>117</v>
      </c>
      <c r="T119" s="512">
        <v>150</v>
      </c>
      <c r="U119" s="512"/>
      <c r="V119" s="512"/>
      <c r="W119" s="512"/>
      <c r="X119" s="512"/>
      <c r="Y119" s="511"/>
    </row>
    <row r="120" spans="12:25" x14ac:dyDescent="0.2">
      <c r="L120" s="512"/>
      <c r="M120" s="512"/>
      <c r="N120" s="512"/>
      <c r="O120" s="512"/>
      <c r="P120" s="512"/>
      <c r="Q120" s="512"/>
      <c r="R120" s="512"/>
      <c r="S120" s="512">
        <v>118</v>
      </c>
      <c r="T120" s="512">
        <v>150</v>
      </c>
      <c r="U120" s="512"/>
      <c r="V120" s="512"/>
      <c r="W120" s="512"/>
      <c r="X120" s="512"/>
      <c r="Y120" s="511"/>
    </row>
    <row r="121" spans="12:25" x14ac:dyDescent="0.2">
      <c r="L121" s="512"/>
      <c r="M121" s="512"/>
      <c r="N121" s="512"/>
      <c r="O121" s="512"/>
      <c r="P121" s="512"/>
      <c r="Q121" s="512"/>
      <c r="R121" s="512"/>
      <c r="S121" s="512">
        <v>119</v>
      </c>
      <c r="T121" s="512">
        <v>150</v>
      </c>
      <c r="U121" s="512"/>
      <c r="V121" s="512"/>
      <c r="W121" s="512"/>
      <c r="X121" s="512"/>
      <c r="Y121" s="511"/>
    </row>
    <row r="122" spans="12:25" x14ac:dyDescent="0.2">
      <c r="L122" s="512"/>
      <c r="M122" s="512"/>
      <c r="N122" s="512"/>
      <c r="O122" s="512"/>
      <c r="P122" s="512"/>
      <c r="Q122" s="512"/>
      <c r="R122" s="512"/>
      <c r="S122" s="512">
        <v>120</v>
      </c>
      <c r="T122" s="512">
        <v>150</v>
      </c>
      <c r="U122" s="512"/>
      <c r="V122" s="512"/>
      <c r="W122" s="512"/>
      <c r="X122" s="512"/>
      <c r="Y122" s="511"/>
    </row>
    <row r="123" spans="12:25" x14ac:dyDescent="0.2">
      <c r="L123" s="512"/>
      <c r="M123" s="512"/>
      <c r="N123" s="512"/>
      <c r="O123" s="512"/>
      <c r="P123" s="512"/>
      <c r="Q123" s="512"/>
      <c r="R123" s="512"/>
      <c r="S123" s="512">
        <v>121</v>
      </c>
      <c r="T123" s="512">
        <v>150</v>
      </c>
      <c r="U123" s="512"/>
      <c r="V123" s="512"/>
      <c r="W123" s="512"/>
      <c r="X123" s="512"/>
      <c r="Y123" s="511"/>
    </row>
    <row r="124" spans="12:25" x14ac:dyDescent="0.2">
      <c r="L124" s="512"/>
      <c r="M124" s="512"/>
      <c r="N124" s="512"/>
      <c r="O124" s="512"/>
      <c r="P124" s="512"/>
      <c r="Q124" s="512"/>
      <c r="R124" s="512"/>
      <c r="S124" s="512">
        <v>122</v>
      </c>
      <c r="T124" s="512">
        <v>150</v>
      </c>
      <c r="U124" s="512"/>
      <c r="V124" s="512"/>
      <c r="W124" s="512"/>
      <c r="X124" s="512"/>
      <c r="Y124" s="511"/>
    </row>
    <row r="125" spans="12:25" x14ac:dyDescent="0.2">
      <c r="L125" s="512"/>
      <c r="M125" s="512"/>
      <c r="N125" s="512"/>
      <c r="O125" s="512"/>
      <c r="P125" s="512"/>
      <c r="Q125" s="512"/>
      <c r="R125" s="512"/>
      <c r="S125" s="512">
        <v>123</v>
      </c>
      <c r="T125" s="512">
        <v>150</v>
      </c>
      <c r="U125" s="512"/>
      <c r="V125" s="512"/>
      <c r="W125" s="512"/>
      <c r="X125" s="512"/>
      <c r="Y125" s="511"/>
    </row>
    <row r="126" spans="12:25" x14ac:dyDescent="0.2">
      <c r="L126" s="512"/>
      <c r="M126" s="512"/>
      <c r="N126" s="512"/>
      <c r="O126" s="512"/>
      <c r="P126" s="512"/>
      <c r="Q126" s="512"/>
      <c r="R126" s="512"/>
      <c r="S126" s="512">
        <v>124</v>
      </c>
      <c r="T126" s="512">
        <v>150</v>
      </c>
      <c r="U126" s="512"/>
      <c r="V126" s="512"/>
      <c r="W126" s="512"/>
      <c r="X126" s="512"/>
      <c r="Y126" s="511"/>
    </row>
    <row r="127" spans="12:25" x14ac:dyDescent="0.2">
      <c r="L127" s="512"/>
      <c r="M127" s="512"/>
      <c r="N127" s="512"/>
      <c r="O127" s="512"/>
      <c r="P127" s="512"/>
      <c r="Q127" s="512"/>
      <c r="R127" s="512"/>
      <c r="S127" s="512">
        <v>125</v>
      </c>
      <c r="T127" s="512">
        <v>150</v>
      </c>
      <c r="U127" s="512"/>
      <c r="V127" s="512"/>
      <c r="W127" s="512"/>
      <c r="X127" s="512"/>
      <c r="Y127" s="511"/>
    </row>
    <row r="128" spans="12:25" x14ac:dyDescent="0.2">
      <c r="L128" s="512"/>
      <c r="M128" s="512"/>
      <c r="N128" s="512"/>
      <c r="O128" s="512"/>
      <c r="P128" s="512"/>
      <c r="Q128" s="512"/>
      <c r="R128" s="512"/>
      <c r="S128" s="512">
        <v>126</v>
      </c>
      <c r="T128" s="512">
        <v>150</v>
      </c>
      <c r="U128" s="512"/>
      <c r="V128" s="512"/>
      <c r="W128" s="512"/>
      <c r="X128" s="512"/>
      <c r="Y128" s="511"/>
    </row>
    <row r="129" spans="12:25" x14ac:dyDescent="0.2">
      <c r="L129" s="512"/>
      <c r="M129" s="512"/>
      <c r="N129" s="512"/>
      <c r="O129" s="512"/>
      <c r="P129" s="512"/>
      <c r="Q129" s="512"/>
      <c r="R129" s="512"/>
      <c r="S129" s="512">
        <v>127</v>
      </c>
      <c r="T129" s="512">
        <v>150</v>
      </c>
      <c r="U129" s="512"/>
      <c r="V129" s="512"/>
      <c r="W129" s="512"/>
      <c r="X129" s="512"/>
      <c r="Y129" s="511"/>
    </row>
    <row r="130" spans="12:25" x14ac:dyDescent="0.2">
      <c r="L130" s="512"/>
      <c r="M130" s="512"/>
      <c r="N130" s="512"/>
      <c r="O130" s="512"/>
      <c r="P130" s="512"/>
      <c r="Q130" s="512"/>
      <c r="R130" s="512"/>
      <c r="S130" s="512">
        <v>128</v>
      </c>
      <c r="T130" s="512">
        <v>150</v>
      </c>
      <c r="U130" s="512"/>
      <c r="V130" s="512"/>
      <c r="W130" s="512"/>
      <c r="X130" s="512"/>
      <c r="Y130" s="511"/>
    </row>
    <row r="131" spans="12:25" x14ac:dyDescent="0.2">
      <c r="L131" s="512"/>
      <c r="M131" s="512"/>
      <c r="N131" s="512"/>
      <c r="O131" s="512"/>
      <c r="P131" s="512"/>
      <c r="Q131" s="512"/>
      <c r="R131" s="512"/>
      <c r="S131" s="512">
        <v>129</v>
      </c>
      <c r="T131" s="512">
        <v>150</v>
      </c>
      <c r="U131" s="512"/>
      <c r="V131" s="512"/>
      <c r="W131" s="512"/>
      <c r="X131" s="512"/>
      <c r="Y131" s="511"/>
    </row>
    <row r="132" spans="12:25" x14ac:dyDescent="0.2">
      <c r="L132" s="512"/>
      <c r="M132" s="512"/>
      <c r="N132" s="512"/>
      <c r="O132" s="512"/>
      <c r="P132" s="512"/>
      <c r="Q132" s="512"/>
      <c r="R132" s="512"/>
      <c r="S132" s="512">
        <v>130</v>
      </c>
      <c r="T132" s="512">
        <v>150</v>
      </c>
      <c r="U132" s="512"/>
      <c r="V132" s="512"/>
      <c r="W132" s="512"/>
      <c r="X132" s="512"/>
      <c r="Y132" s="511"/>
    </row>
    <row r="133" spans="12:25" x14ac:dyDescent="0.2">
      <c r="L133" s="512"/>
      <c r="M133" s="512"/>
      <c r="N133" s="512"/>
      <c r="O133" s="512"/>
      <c r="P133" s="512"/>
      <c r="Q133" s="512"/>
      <c r="R133" s="512"/>
      <c r="S133" s="512">
        <v>131</v>
      </c>
      <c r="T133" s="512">
        <v>150</v>
      </c>
      <c r="U133" s="512"/>
      <c r="V133" s="512"/>
      <c r="W133" s="512"/>
      <c r="X133" s="512"/>
      <c r="Y133" s="511"/>
    </row>
    <row r="134" spans="12:25" x14ac:dyDescent="0.2">
      <c r="L134" s="512"/>
      <c r="M134" s="512"/>
      <c r="N134" s="512"/>
      <c r="O134" s="512"/>
      <c r="P134" s="512"/>
      <c r="Q134" s="512"/>
      <c r="R134" s="512"/>
      <c r="S134" s="512">
        <v>132</v>
      </c>
      <c r="T134" s="512">
        <v>150</v>
      </c>
      <c r="U134" s="512"/>
      <c r="V134" s="512"/>
      <c r="W134" s="512"/>
      <c r="X134" s="512"/>
      <c r="Y134" s="511"/>
    </row>
    <row r="135" spans="12:25" x14ac:dyDescent="0.2">
      <c r="L135" s="512"/>
      <c r="M135" s="512"/>
      <c r="N135" s="512"/>
      <c r="O135" s="512"/>
      <c r="P135" s="512"/>
      <c r="Q135" s="512"/>
      <c r="R135" s="512"/>
      <c r="S135" s="512">
        <v>133</v>
      </c>
      <c r="T135" s="512">
        <v>150</v>
      </c>
      <c r="U135" s="512"/>
      <c r="V135" s="512"/>
      <c r="W135" s="512"/>
      <c r="X135" s="512"/>
      <c r="Y135" s="511"/>
    </row>
    <row r="136" spans="12:25" x14ac:dyDescent="0.2">
      <c r="L136" s="512"/>
      <c r="M136" s="512"/>
      <c r="N136" s="512"/>
      <c r="O136" s="512"/>
      <c r="P136" s="512"/>
      <c r="Q136" s="512"/>
      <c r="R136" s="512"/>
      <c r="S136" s="512">
        <v>134</v>
      </c>
      <c r="T136" s="512">
        <v>150</v>
      </c>
      <c r="U136" s="512"/>
      <c r="V136" s="512"/>
      <c r="W136" s="512"/>
      <c r="X136" s="512"/>
      <c r="Y136" s="511"/>
    </row>
    <row r="137" spans="12:25" x14ac:dyDescent="0.2">
      <c r="L137" s="512"/>
      <c r="M137" s="512"/>
      <c r="N137" s="512"/>
      <c r="O137" s="512"/>
      <c r="P137" s="512"/>
      <c r="Q137" s="512"/>
      <c r="R137" s="512"/>
      <c r="S137" s="512">
        <v>135</v>
      </c>
      <c r="T137" s="512">
        <v>150</v>
      </c>
      <c r="U137" s="512"/>
      <c r="V137" s="512"/>
      <c r="W137" s="512"/>
      <c r="X137" s="512"/>
      <c r="Y137" s="511"/>
    </row>
    <row r="138" spans="12:25" x14ac:dyDescent="0.2">
      <c r="L138" s="512"/>
      <c r="M138" s="512"/>
      <c r="N138" s="512"/>
      <c r="O138" s="512"/>
      <c r="P138" s="512"/>
      <c r="Q138" s="512"/>
      <c r="R138" s="512"/>
      <c r="S138" s="512">
        <v>136</v>
      </c>
      <c r="T138" s="512">
        <v>150</v>
      </c>
      <c r="U138" s="512"/>
      <c r="V138" s="512"/>
      <c r="W138" s="512"/>
      <c r="X138" s="512"/>
      <c r="Y138" s="511"/>
    </row>
    <row r="139" spans="12:25" x14ac:dyDescent="0.2">
      <c r="L139" s="512"/>
      <c r="M139" s="512"/>
      <c r="N139" s="512"/>
      <c r="O139" s="512"/>
      <c r="P139" s="512"/>
      <c r="Q139" s="512"/>
      <c r="R139" s="512"/>
      <c r="S139" s="512">
        <v>137</v>
      </c>
      <c r="T139" s="512">
        <v>150</v>
      </c>
      <c r="U139" s="512"/>
      <c r="V139" s="512"/>
      <c r="W139" s="512"/>
      <c r="X139" s="512"/>
      <c r="Y139" s="511"/>
    </row>
    <row r="140" spans="12:25" x14ac:dyDescent="0.2">
      <c r="L140" s="512"/>
      <c r="M140" s="512"/>
      <c r="N140" s="512"/>
      <c r="O140" s="512"/>
      <c r="P140" s="512"/>
      <c r="Q140" s="512"/>
      <c r="R140" s="512"/>
      <c r="S140" s="512">
        <v>138</v>
      </c>
      <c r="T140" s="512">
        <v>150</v>
      </c>
      <c r="U140" s="512"/>
      <c r="V140" s="512"/>
      <c r="W140" s="512"/>
      <c r="X140" s="512"/>
      <c r="Y140" s="511"/>
    </row>
    <row r="141" spans="12:25" x14ac:dyDescent="0.2">
      <c r="L141" s="512"/>
      <c r="M141" s="512"/>
      <c r="N141" s="512"/>
      <c r="O141" s="512"/>
      <c r="P141" s="512"/>
      <c r="Q141" s="512"/>
      <c r="R141" s="512"/>
      <c r="S141" s="512">
        <v>139</v>
      </c>
      <c r="T141" s="512">
        <v>150</v>
      </c>
      <c r="U141" s="512"/>
      <c r="V141" s="512"/>
      <c r="W141" s="512"/>
      <c r="X141" s="512"/>
      <c r="Y141" s="511"/>
    </row>
    <row r="142" spans="12:25" x14ac:dyDescent="0.2">
      <c r="L142" s="512"/>
      <c r="M142" s="512"/>
      <c r="N142" s="512"/>
      <c r="O142" s="512"/>
      <c r="P142" s="512"/>
      <c r="Q142" s="512"/>
      <c r="R142" s="512"/>
      <c r="S142" s="512">
        <v>140</v>
      </c>
      <c r="T142" s="512">
        <v>150</v>
      </c>
      <c r="U142" s="512"/>
      <c r="V142" s="512"/>
      <c r="W142" s="512"/>
      <c r="X142" s="512"/>
      <c r="Y142" s="511"/>
    </row>
    <row r="143" spans="12:25" x14ac:dyDescent="0.2">
      <c r="L143" s="512"/>
      <c r="M143" s="512"/>
      <c r="N143" s="512"/>
      <c r="O143" s="512"/>
      <c r="P143" s="512"/>
      <c r="Q143" s="512"/>
      <c r="R143" s="512"/>
      <c r="S143" s="512">
        <v>141</v>
      </c>
      <c r="T143" s="512">
        <v>150</v>
      </c>
      <c r="U143" s="512"/>
      <c r="V143" s="512"/>
      <c r="W143" s="512"/>
      <c r="X143" s="512"/>
      <c r="Y143" s="511"/>
    </row>
    <row r="144" spans="12:25" x14ac:dyDescent="0.2">
      <c r="L144" s="512"/>
      <c r="M144" s="512"/>
      <c r="N144" s="512"/>
      <c r="O144" s="512"/>
      <c r="P144" s="512"/>
      <c r="Q144" s="512"/>
      <c r="R144" s="512"/>
      <c r="S144" s="512">
        <v>142</v>
      </c>
      <c r="T144" s="512">
        <v>150</v>
      </c>
      <c r="U144" s="512"/>
      <c r="V144" s="512"/>
      <c r="W144" s="512"/>
      <c r="X144" s="512"/>
      <c r="Y144" s="511"/>
    </row>
    <row r="145" spans="12:25" x14ac:dyDescent="0.2">
      <c r="L145" s="512"/>
      <c r="M145" s="512"/>
      <c r="N145" s="512"/>
      <c r="O145" s="512"/>
      <c r="P145" s="512"/>
      <c r="Q145" s="512"/>
      <c r="R145" s="512"/>
      <c r="S145" s="512">
        <v>143</v>
      </c>
      <c r="T145" s="512">
        <v>150</v>
      </c>
      <c r="U145" s="512"/>
      <c r="V145" s="512"/>
      <c r="W145" s="512"/>
      <c r="X145" s="512"/>
      <c r="Y145" s="511"/>
    </row>
    <row r="146" spans="12:25" x14ac:dyDescent="0.2">
      <c r="L146" s="512"/>
      <c r="M146" s="512"/>
      <c r="N146" s="512"/>
      <c r="O146" s="512"/>
      <c r="P146" s="512"/>
      <c r="Q146" s="512"/>
      <c r="R146" s="512"/>
      <c r="S146" s="512">
        <v>144</v>
      </c>
      <c r="T146" s="512">
        <v>150</v>
      </c>
      <c r="U146" s="512"/>
      <c r="V146" s="512"/>
      <c r="W146" s="512"/>
      <c r="X146" s="512"/>
      <c r="Y146" s="511"/>
    </row>
    <row r="147" spans="12:25" x14ac:dyDescent="0.2">
      <c r="L147" s="512"/>
      <c r="M147" s="512"/>
      <c r="N147" s="512"/>
      <c r="O147" s="512"/>
      <c r="P147" s="512"/>
      <c r="Q147" s="512"/>
      <c r="R147" s="512"/>
      <c r="S147" s="512">
        <v>145</v>
      </c>
      <c r="T147" s="512">
        <v>150</v>
      </c>
      <c r="U147" s="512"/>
      <c r="V147" s="512"/>
      <c r="W147" s="512"/>
      <c r="X147" s="512"/>
      <c r="Y147" s="511"/>
    </row>
    <row r="148" spans="12:25" x14ac:dyDescent="0.2">
      <c r="L148" s="512"/>
      <c r="M148" s="512"/>
      <c r="N148" s="512"/>
      <c r="O148" s="512"/>
      <c r="P148" s="512"/>
      <c r="Q148" s="512"/>
      <c r="R148" s="512"/>
      <c r="S148" s="512">
        <v>146</v>
      </c>
      <c r="T148" s="512">
        <v>150</v>
      </c>
      <c r="U148" s="512"/>
      <c r="V148" s="512"/>
      <c r="W148" s="512"/>
      <c r="X148" s="512"/>
      <c r="Y148" s="511"/>
    </row>
    <row r="149" spans="12:25" x14ac:dyDescent="0.2">
      <c r="L149" s="512"/>
      <c r="M149" s="512"/>
      <c r="N149" s="512"/>
      <c r="O149" s="512"/>
      <c r="P149" s="512"/>
      <c r="Q149" s="512"/>
      <c r="R149" s="512"/>
      <c r="S149" s="512">
        <v>147</v>
      </c>
      <c r="T149" s="512">
        <v>150</v>
      </c>
      <c r="U149" s="512"/>
      <c r="V149" s="512"/>
      <c r="W149" s="512"/>
      <c r="X149" s="512"/>
      <c r="Y149" s="511"/>
    </row>
    <row r="150" spans="12:25" x14ac:dyDescent="0.2">
      <c r="L150" s="512"/>
      <c r="M150" s="512"/>
      <c r="N150" s="512"/>
      <c r="O150" s="512"/>
      <c r="P150" s="512"/>
      <c r="Q150" s="512"/>
      <c r="R150" s="512"/>
      <c r="S150" s="512">
        <v>148</v>
      </c>
      <c r="T150" s="512">
        <v>150</v>
      </c>
      <c r="U150" s="512"/>
      <c r="V150" s="512"/>
      <c r="W150" s="512"/>
      <c r="X150" s="512"/>
      <c r="Y150" s="511"/>
    </row>
    <row r="151" spans="12:25" x14ac:dyDescent="0.2">
      <c r="L151" s="512"/>
      <c r="M151" s="512"/>
      <c r="N151" s="512"/>
      <c r="O151" s="512"/>
      <c r="P151" s="512"/>
      <c r="Q151" s="512"/>
      <c r="R151" s="512"/>
      <c r="S151" s="512">
        <v>149</v>
      </c>
      <c r="T151" s="512">
        <v>150</v>
      </c>
      <c r="U151" s="512"/>
      <c r="V151" s="512"/>
      <c r="W151" s="512"/>
      <c r="X151" s="512"/>
      <c r="Y151" s="511"/>
    </row>
    <row r="152" spans="12:25" x14ac:dyDescent="0.2">
      <c r="L152" s="512"/>
      <c r="M152" s="512"/>
      <c r="N152" s="512"/>
      <c r="O152" s="512"/>
      <c r="P152" s="512"/>
      <c r="Q152" s="512"/>
      <c r="R152" s="512"/>
      <c r="S152" s="512">
        <v>150</v>
      </c>
      <c r="T152" s="512">
        <v>150</v>
      </c>
      <c r="U152" s="512">
        <v>150</v>
      </c>
      <c r="V152" s="512"/>
      <c r="W152" s="512"/>
      <c r="X152" s="512"/>
      <c r="Y152" s="511"/>
    </row>
    <row r="153" spans="12:25" x14ac:dyDescent="0.2">
      <c r="L153" s="512"/>
      <c r="M153" s="512"/>
      <c r="N153" s="512"/>
      <c r="O153" s="512"/>
      <c r="P153" s="512"/>
      <c r="Q153" s="512"/>
      <c r="R153" s="512"/>
      <c r="S153" s="512">
        <v>151</v>
      </c>
      <c r="T153" s="512">
        <v>150</v>
      </c>
      <c r="U153" s="512"/>
      <c r="V153" s="512"/>
      <c r="W153" s="512"/>
      <c r="X153" s="512"/>
      <c r="Y153" s="511"/>
    </row>
    <row r="154" spans="12:25" x14ac:dyDescent="0.2">
      <c r="L154" s="512"/>
      <c r="M154" s="512"/>
      <c r="N154" s="512"/>
      <c r="O154" s="512"/>
      <c r="P154" s="512"/>
      <c r="Q154" s="512"/>
      <c r="R154" s="512"/>
      <c r="S154" s="512">
        <v>152</v>
      </c>
      <c r="T154" s="512">
        <v>150</v>
      </c>
      <c r="U154" s="512"/>
      <c r="V154" s="512"/>
      <c r="W154" s="512"/>
      <c r="X154" s="512"/>
      <c r="Y154" s="511"/>
    </row>
    <row r="155" spans="12:25" x14ac:dyDescent="0.2">
      <c r="L155" s="512"/>
      <c r="M155" s="512"/>
      <c r="N155" s="512"/>
      <c r="O155" s="512"/>
      <c r="P155" s="512"/>
      <c r="Q155" s="512"/>
      <c r="R155" s="512"/>
      <c r="S155" s="512">
        <v>153</v>
      </c>
      <c r="T155" s="512">
        <v>150</v>
      </c>
      <c r="U155" s="512"/>
      <c r="V155" s="512"/>
      <c r="W155" s="512"/>
      <c r="X155" s="512"/>
      <c r="Y155" s="511"/>
    </row>
    <row r="156" spans="12:25" x14ac:dyDescent="0.2">
      <c r="L156" s="512"/>
      <c r="M156" s="512"/>
      <c r="N156" s="512"/>
      <c r="O156" s="512"/>
      <c r="P156" s="512"/>
      <c r="Q156" s="512"/>
      <c r="R156" s="512"/>
      <c r="S156" s="512">
        <v>154</v>
      </c>
      <c r="T156" s="512">
        <v>150</v>
      </c>
      <c r="U156" s="512"/>
      <c r="V156" s="512"/>
      <c r="W156" s="512"/>
      <c r="X156" s="512"/>
      <c r="Y156" s="511"/>
    </row>
    <row r="157" spans="12:25" x14ac:dyDescent="0.2">
      <c r="L157" s="512"/>
      <c r="M157" s="512"/>
      <c r="N157" s="512"/>
      <c r="O157" s="512"/>
      <c r="P157" s="512"/>
      <c r="Q157" s="512"/>
      <c r="R157" s="512"/>
      <c r="S157" s="512">
        <v>155</v>
      </c>
      <c r="T157" s="512">
        <v>150</v>
      </c>
      <c r="U157" s="512"/>
      <c r="V157" s="512"/>
      <c r="W157" s="512"/>
      <c r="X157" s="512"/>
      <c r="Y157" s="511"/>
    </row>
    <row r="158" spans="12:25" x14ac:dyDescent="0.2">
      <c r="L158" s="512"/>
      <c r="M158" s="512"/>
      <c r="N158" s="512"/>
      <c r="O158" s="512"/>
      <c r="P158" s="512"/>
      <c r="Q158" s="512"/>
      <c r="R158" s="512"/>
      <c r="S158" s="512">
        <v>156</v>
      </c>
      <c r="T158" s="512">
        <v>150</v>
      </c>
      <c r="U158" s="512"/>
      <c r="V158" s="512"/>
      <c r="W158" s="512"/>
      <c r="X158" s="512"/>
      <c r="Y158" s="511"/>
    </row>
    <row r="159" spans="12:25" x14ac:dyDescent="0.2">
      <c r="L159" s="512"/>
      <c r="M159" s="512"/>
      <c r="N159" s="512"/>
      <c r="O159" s="512"/>
      <c r="P159" s="512"/>
      <c r="Q159" s="512"/>
      <c r="R159" s="512"/>
      <c r="S159" s="512">
        <v>157</v>
      </c>
      <c r="T159" s="512">
        <v>150</v>
      </c>
      <c r="U159" s="512"/>
      <c r="V159" s="512"/>
      <c r="W159" s="512"/>
      <c r="X159" s="512"/>
      <c r="Y159" s="511"/>
    </row>
    <row r="160" spans="12:25" x14ac:dyDescent="0.2">
      <c r="L160" s="512"/>
      <c r="M160" s="512"/>
      <c r="N160" s="512"/>
      <c r="O160" s="512"/>
      <c r="P160" s="512"/>
      <c r="Q160" s="512"/>
      <c r="R160" s="512"/>
      <c r="S160" s="512">
        <v>158</v>
      </c>
      <c r="T160" s="512">
        <v>150</v>
      </c>
      <c r="U160" s="512"/>
      <c r="V160" s="512"/>
      <c r="W160" s="512"/>
      <c r="X160" s="512"/>
      <c r="Y160" s="511"/>
    </row>
    <row r="161" spans="12:25" x14ac:dyDescent="0.2">
      <c r="L161" s="512"/>
      <c r="M161" s="512"/>
      <c r="N161" s="512"/>
      <c r="O161" s="512"/>
      <c r="P161" s="512"/>
      <c r="Q161" s="512"/>
      <c r="R161" s="512"/>
      <c r="S161" s="512">
        <v>159</v>
      </c>
      <c r="T161" s="512">
        <v>150</v>
      </c>
      <c r="U161" s="512"/>
      <c r="V161" s="512"/>
      <c r="W161" s="512"/>
      <c r="X161" s="512"/>
      <c r="Y161" s="511"/>
    </row>
    <row r="162" spans="12:25" x14ac:dyDescent="0.2">
      <c r="L162" s="512"/>
      <c r="M162" s="512"/>
      <c r="N162" s="512"/>
      <c r="O162" s="512"/>
      <c r="P162" s="512"/>
      <c r="Q162" s="512"/>
      <c r="R162" s="512"/>
      <c r="S162" s="512">
        <v>160</v>
      </c>
      <c r="T162" s="512">
        <v>150</v>
      </c>
      <c r="U162" s="512"/>
      <c r="V162" s="512"/>
      <c r="W162" s="512"/>
      <c r="X162" s="512"/>
      <c r="Y162" s="511"/>
    </row>
    <row r="163" spans="12:25" x14ac:dyDescent="0.2">
      <c r="L163" s="512"/>
      <c r="M163" s="512"/>
      <c r="N163" s="512"/>
      <c r="O163" s="512"/>
      <c r="P163" s="512"/>
      <c r="Q163" s="512"/>
      <c r="R163" s="512"/>
      <c r="S163" s="512">
        <v>161</v>
      </c>
      <c r="T163" s="512">
        <v>150</v>
      </c>
      <c r="U163" s="512"/>
      <c r="V163" s="512"/>
      <c r="W163" s="512"/>
      <c r="X163" s="512"/>
      <c r="Y163" s="511"/>
    </row>
    <row r="164" spans="12:25" x14ac:dyDescent="0.2">
      <c r="L164" s="512"/>
      <c r="M164" s="512"/>
      <c r="N164" s="512"/>
      <c r="O164" s="512"/>
      <c r="P164" s="512"/>
      <c r="Q164" s="512"/>
      <c r="R164" s="512"/>
      <c r="S164" s="512">
        <v>162</v>
      </c>
      <c r="T164" s="512">
        <v>150</v>
      </c>
      <c r="U164" s="512"/>
      <c r="V164" s="512"/>
      <c r="W164" s="512"/>
      <c r="X164" s="512"/>
      <c r="Y164" s="511"/>
    </row>
    <row r="165" spans="12:25" x14ac:dyDescent="0.2">
      <c r="L165" s="512"/>
      <c r="M165" s="512"/>
      <c r="N165" s="512"/>
      <c r="O165" s="512"/>
      <c r="P165" s="512"/>
      <c r="Q165" s="512"/>
      <c r="R165" s="512"/>
      <c r="S165" s="512">
        <v>163</v>
      </c>
      <c r="T165" s="512">
        <v>150</v>
      </c>
      <c r="U165" s="512"/>
      <c r="V165" s="512"/>
      <c r="W165" s="512"/>
      <c r="X165" s="512"/>
      <c r="Y165" s="511"/>
    </row>
    <row r="166" spans="12:25" x14ac:dyDescent="0.2">
      <c r="L166" s="512"/>
      <c r="M166" s="512"/>
      <c r="N166" s="512"/>
      <c r="O166" s="512"/>
      <c r="P166" s="512"/>
      <c r="Q166" s="512"/>
      <c r="R166" s="512"/>
      <c r="S166" s="512">
        <v>164</v>
      </c>
      <c r="T166" s="512">
        <v>150</v>
      </c>
      <c r="U166" s="512"/>
      <c r="V166" s="512"/>
      <c r="W166" s="512"/>
      <c r="X166" s="512"/>
      <c r="Y166" s="511"/>
    </row>
    <row r="167" spans="12:25" x14ac:dyDescent="0.2">
      <c r="L167" s="512"/>
      <c r="M167" s="512"/>
      <c r="N167" s="512"/>
      <c r="O167" s="512"/>
      <c r="P167" s="512"/>
      <c r="Q167" s="512"/>
      <c r="R167" s="512"/>
      <c r="S167" s="512">
        <v>165</v>
      </c>
      <c r="T167" s="512">
        <v>150</v>
      </c>
      <c r="U167" s="512"/>
      <c r="V167" s="512"/>
      <c r="W167" s="512"/>
      <c r="X167" s="512"/>
      <c r="Y167" s="511"/>
    </row>
    <row r="168" spans="12:25" x14ac:dyDescent="0.2">
      <c r="L168" s="512"/>
      <c r="M168" s="512"/>
      <c r="N168" s="512"/>
      <c r="O168" s="512"/>
      <c r="P168" s="512"/>
      <c r="Q168" s="512"/>
      <c r="R168" s="512"/>
      <c r="S168" s="512">
        <v>166</v>
      </c>
      <c r="T168" s="512">
        <v>150</v>
      </c>
      <c r="U168" s="512"/>
      <c r="V168" s="512"/>
      <c r="W168" s="512"/>
      <c r="X168" s="512"/>
      <c r="Y168" s="511"/>
    </row>
    <row r="169" spans="12:25" x14ac:dyDescent="0.2">
      <c r="L169" s="512"/>
      <c r="M169" s="512"/>
      <c r="N169" s="512"/>
      <c r="O169" s="512"/>
      <c r="P169" s="512"/>
      <c r="Q169" s="512"/>
      <c r="R169" s="512"/>
      <c r="S169" s="512">
        <v>167</v>
      </c>
      <c r="T169" s="512">
        <v>150</v>
      </c>
      <c r="U169" s="512"/>
      <c r="V169" s="512"/>
      <c r="W169" s="512"/>
      <c r="X169" s="512"/>
      <c r="Y169" s="511"/>
    </row>
    <row r="170" spans="12:25" x14ac:dyDescent="0.2">
      <c r="L170" s="512"/>
      <c r="M170" s="512"/>
      <c r="N170" s="512"/>
      <c r="O170" s="512"/>
      <c r="P170" s="512"/>
      <c r="Q170" s="512"/>
      <c r="R170" s="512"/>
      <c r="S170" s="512">
        <v>168</v>
      </c>
      <c r="T170" s="512">
        <v>150</v>
      </c>
      <c r="U170" s="512"/>
      <c r="V170" s="512"/>
      <c r="W170" s="512"/>
      <c r="X170" s="512"/>
      <c r="Y170" s="511"/>
    </row>
    <row r="171" spans="12:25" x14ac:dyDescent="0.2">
      <c r="L171" s="512"/>
      <c r="M171" s="512"/>
      <c r="N171" s="512"/>
      <c r="O171" s="512"/>
      <c r="P171" s="512"/>
      <c r="Q171" s="512"/>
      <c r="R171" s="512"/>
      <c r="S171" s="512">
        <v>169</v>
      </c>
      <c r="T171" s="512">
        <v>150</v>
      </c>
      <c r="U171" s="512"/>
      <c r="V171" s="512"/>
      <c r="W171" s="512"/>
      <c r="X171" s="512"/>
      <c r="Y171" s="511"/>
    </row>
    <row r="172" spans="12:25" x14ac:dyDescent="0.2">
      <c r="L172" s="512"/>
      <c r="M172" s="512"/>
      <c r="N172" s="512"/>
      <c r="O172" s="512"/>
      <c r="P172" s="512"/>
      <c r="Q172" s="512"/>
      <c r="R172" s="512"/>
      <c r="S172" s="512">
        <v>170</v>
      </c>
      <c r="T172" s="512">
        <v>150</v>
      </c>
      <c r="U172" s="512"/>
      <c r="V172" s="512"/>
      <c r="W172" s="512"/>
      <c r="X172" s="512"/>
      <c r="Y172" s="511"/>
    </row>
    <row r="173" spans="12:25" x14ac:dyDescent="0.2">
      <c r="L173" s="512"/>
      <c r="M173" s="512"/>
      <c r="N173" s="512"/>
      <c r="O173" s="512"/>
      <c r="P173" s="512"/>
      <c r="Q173" s="512"/>
      <c r="R173" s="512"/>
      <c r="S173" s="512">
        <v>171</v>
      </c>
      <c r="T173" s="512">
        <v>150</v>
      </c>
      <c r="U173" s="512"/>
      <c r="V173" s="512"/>
      <c r="W173" s="512"/>
      <c r="X173" s="512"/>
      <c r="Y173" s="511"/>
    </row>
    <row r="174" spans="12:25" x14ac:dyDescent="0.2">
      <c r="L174" s="512"/>
      <c r="M174" s="512"/>
      <c r="N174" s="512"/>
      <c r="O174" s="512"/>
      <c r="P174" s="512"/>
      <c r="Q174" s="512"/>
      <c r="R174" s="512"/>
      <c r="S174" s="512">
        <v>172</v>
      </c>
      <c r="T174" s="512">
        <v>150</v>
      </c>
      <c r="U174" s="512"/>
      <c r="V174" s="512"/>
      <c r="W174" s="512"/>
      <c r="X174" s="512"/>
      <c r="Y174" s="511"/>
    </row>
    <row r="175" spans="12:25" x14ac:dyDescent="0.2">
      <c r="L175" s="512"/>
      <c r="M175" s="512"/>
      <c r="N175" s="512"/>
      <c r="O175" s="512"/>
      <c r="P175" s="512"/>
      <c r="Q175" s="512"/>
      <c r="R175" s="512"/>
      <c r="S175" s="512">
        <v>173</v>
      </c>
      <c r="T175" s="512">
        <v>150</v>
      </c>
      <c r="U175" s="512"/>
      <c r="V175" s="512"/>
      <c r="W175" s="512"/>
      <c r="X175" s="512"/>
      <c r="Y175" s="511"/>
    </row>
    <row r="176" spans="12:25" x14ac:dyDescent="0.2">
      <c r="L176" s="512"/>
      <c r="M176" s="512"/>
      <c r="N176" s="512"/>
      <c r="O176" s="512"/>
      <c r="P176" s="512"/>
      <c r="Q176" s="512"/>
      <c r="R176" s="512"/>
      <c r="S176" s="512">
        <v>174</v>
      </c>
      <c r="T176" s="512">
        <v>150</v>
      </c>
      <c r="U176" s="512"/>
      <c r="V176" s="512"/>
      <c r="W176" s="512"/>
      <c r="X176" s="512"/>
      <c r="Y176" s="511"/>
    </row>
    <row r="177" spans="12:25" x14ac:dyDescent="0.2">
      <c r="L177" s="512"/>
      <c r="M177" s="512"/>
      <c r="N177" s="512"/>
      <c r="O177" s="512"/>
      <c r="P177" s="512"/>
      <c r="Q177" s="512"/>
      <c r="R177" s="512"/>
      <c r="S177" s="512">
        <v>175</v>
      </c>
      <c r="T177" s="512">
        <v>150</v>
      </c>
      <c r="U177" s="512"/>
      <c r="V177" s="512"/>
      <c r="W177" s="512"/>
      <c r="X177" s="512"/>
      <c r="Y177" s="511"/>
    </row>
    <row r="178" spans="12:25" x14ac:dyDescent="0.2">
      <c r="L178" s="512"/>
      <c r="M178" s="512"/>
      <c r="N178" s="512"/>
      <c r="O178" s="512"/>
      <c r="P178" s="512"/>
      <c r="Q178" s="512"/>
      <c r="R178" s="512"/>
      <c r="S178" s="512">
        <v>176</v>
      </c>
      <c r="T178" s="512">
        <v>150</v>
      </c>
      <c r="U178" s="512"/>
      <c r="V178" s="512"/>
      <c r="W178" s="512"/>
      <c r="X178" s="512"/>
      <c r="Y178" s="511"/>
    </row>
    <row r="179" spans="12:25" x14ac:dyDescent="0.2">
      <c r="L179" s="512"/>
      <c r="M179" s="512"/>
      <c r="N179" s="512"/>
      <c r="O179" s="512"/>
      <c r="P179" s="512"/>
      <c r="Q179" s="512"/>
      <c r="R179" s="512"/>
      <c r="S179" s="512">
        <v>177</v>
      </c>
      <c r="T179" s="512">
        <v>150</v>
      </c>
      <c r="U179" s="512"/>
      <c r="V179" s="512"/>
      <c r="W179" s="512"/>
      <c r="X179" s="512"/>
      <c r="Y179" s="511"/>
    </row>
    <row r="180" spans="12:25" x14ac:dyDescent="0.2">
      <c r="L180" s="512"/>
      <c r="M180" s="512"/>
      <c r="N180" s="512"/>
      <c r="O180" s="512"/>
      <c r="P180" s="512"/>
      <c r="Q180" s="512"/>
      <c r="R180" s="512"/>
      <c r="S180" s="512">
        <v>178</v>
      </c>
      <c r="T180" s="512">
        <v>150</v>
      </c>
      <c r="U180" s="512"/>
      <c r="V180" s="512"/>
      <c r="W180" s="512"/>
      <c r="X180" s="512"/>
      <c r="Y180" s="511"/>
    </row>
    <row r="181" spans="12:25" x14ac:dyDescent="0.2">
      <c r="L181" s="512"/>
      <c r="M181" s="512"/>
      <c r="N181" s="512"/>
      <c r="O181" s="512"/>
      <c r="P181" s="512"/>
      <c r="Q181" s="512"/>
      <c r="R181" s="512"/>
      <c r="S181" s="512">
        <v>179</v>
      </c>
      <c r="T181" s="512">
        <v>150</v>
      </c>
      <c r="U181" s="512"/>
      <c r="V181" s="512"/>
      <c r="W181" s="512"/>
      <c r="X181" s="512"/>
      <c r="Y181" s="511"/>
    </row>
    <row r="182" spans="12:25" x14ac:dyDescent="0.2">
      <c r="L182" s="512"/>
      <c r="M182" s="512"/>
      <c r="N182" s="512"/>
      <c r="O182" s="512"/>
      <c r="P182" s="512"/>
      <c r="Q182" s="512"/>
      <c r="R182" s="512"/>
      <c r="S182" s="512">
        <v>180</v>
      </c>
      <c r="T182" s="512">
        <v>150</v>
      </c>
      <c r="U182" s="512"/>
      <c r="V182" s="512"/>
      <c r="W182" s="512"/>
      <c r="X182" s="512"/>
      <c r="Y182" s="511"/>
    </row>
    <row r="183" spans="12:25" x14ac:dyDescent="0.2">
      <c r="L183" s="512"/>
      <c r="M183" s="512"/>
      <c r="N183" s="512"/>
      <c r="O183" s="512"/>
      <c r="P183" s="512"/>
      <c r="Q183" s="512"/>
      <c r="R183" s="512"/>
      <c r="S183" s="512">
        <v>181</v>
      </c>
      <c r="T183" s="512">
        <v>150</v>
      </c>
      <c r="U183" s="512"/>
      <c r="V183" s="512"/>
      <c r="W183" s="512"/>
      <c r="X183" s="512"/>
      <c r="Y183" s="511"/>
    </row>
    <row r="184" spans="12:25" x14ac:dyDescent="0.2">
      <c r="L184" s="512"/>
      <c r="M184" s="512"/>
      <c r="N184" s="512"/>
      <c r="O184" s="512"/>
      <c r="P184" s="512"/>
      <c r="Q184" s="512"/>
      <c r="R184" s="512"/>
      <c r="S184" s="512">
        <v>182</v>
      </c>
      <c r="T184" s="512">
        <v>150</v>
      </c>
      <c r="U184" s="512"/>
      <c r="V184" s="512"/>
      <c r="W184" s="512"/>
      <c r="X184" s="512"/>
      <c r="Y184" s="511"/>
    </row>
    <row r="185" spans="12:25" x14ac:dyDescent="0.2">
      <c r="L185" s="512"/>
      <c r="M185" s="512"/>
      <c r="N185" s="512"/>
      <c r="O185" s="512"/>
      <c r="P185" s="512"/>
      <c r="Q185" s="512"/>
      <c r="R185" s="512"/>
      <c r="S185" s="512">
        <v>183</v>
      </c>
      <c r="T185" s="512">
        <v>150</v>
      </c>
      <c r="U185" s="512"/>
      <c r="V185" s="512"/>
      <c r="W185" s="512"/>
      <c r="X185" s="512"/>
      <c r="Y185" s="511"/>
    </row>
    <row r="186" spans="12:25" x14ac:dyDescent="0.2">
      <c r="L186" s="512"/>
      <c r="M186" s="512"/>
      <c r="N186" s="512"/>
      <c r="O186" s="512"/>
      <c r="P186" s="512"/>
      <c r="Q186" s="512"/>
      <c r="R186" s="512"/>
      <c r="S186" s="512">
        <v>184</v>
      </c>
      <c r="T186" s="512">
        <v>150</v>
      </c>
      <c r="U186" s="512"/>
      <c r="V186" s="512"/>
      <c r="W186" s="512"/>
      <c r="X186" s="512"/>
      <c r="Y186" s="511"/>
    </row>
    <row r="187" spans="12:25" x14ac:dyDescent="0.2">
      <c r="L187" s="512"/>
      <c r="M187" s="512"/>
      <c r="N187" s="512"/>
      <c r="O187" s="512"/>
      <c r="P187" s="512"/>
      <c r="Q187" s="512"/>
      <c r="R187" s="512"/>
      <c r="S187" s="512">
        <v>185</v>
      </c>
      <c r="T187" s="512">
        <v>150</v>
      </c>
      <c r="U187" s="512"/>
      <c r="V187" s="512"/>
      <c r="W187" s="512"/>
      <c r="X187" s="512"/>
      <c r="Y187" s="511"/>
    </row>
    <row r="188" spans="12:25" x14ac:dyDescent="0.2">
      <c r="L188" s="512"/>
      <c r="M188" s="512"/>
      <c r="N188" s="512"/>
      <c r="O188" s="512"/>
      <c r="P188" s="512"/>
      <c r="Q188" s="512"/>
      <c r="R188" s="512"/>
      <c r="S188" s="512">
        <v>186</v>
      </c>
      <c r="T188" s="512">
        <v>150</v>
      </c>
      <c r="U188" s="512"/>
      <c r="V188" s="512"/>
      <c r="W188" s="512"/>
      <c r="X188" s="512"/>
      <c r="Y188" s="511"/>
    </row>
    <row r="189" spans="12:25" x14ac:dyDescent="0.2">
      <c r="L189" s="512"/>
      <c r="M189" s="512"/>
      <c r="N189" s="512"/>
      <c r="O189" s="512"/>
      <c r="P189" s="512"/>
      <c r="Q189" s="512"/>
      <c r="R189" s="512"/>
      <c r="S189" s="512">
        <v>187</v>
      </c>
      <c r="T189" s="512">
        <v>150</v>
      </c>
      <c r="U189" s="512"/>
      <c r="V189" s="512"/>
      <c r="W189" s="512"/>
      <c r="X189" s="512"/>
      <c r="Y189" s="511"/>
    </row>
    <row r="190" spans="12:25" x14ac:dyDescent="0.2">
      <c r="L190" s="512"/>
      <c r="M190" s="512"/>
      <c r="N190" s="512"/>
      <c r="O190" s="512"/>
      <c r="P190" s="512"/>
      <c r="Q190" s="512"/>
      <c r="R190" s="512"/>
      <c r="S190" s="512">
        <v>188</v>
      </c>
      <c r="T190" s="512">
        <v>150</v>
      </c>
      <c r="U190" s="512"/>
      <c r="V190" s="512"/>
      <c r="W190" s="512"/>
      <c r="X190" s="512"/>
      <c r="Y190" s="511"/>
    </row>
    <row r="191" spans="12:25" x14ac:dyDescent="0.2">
      <c r="L191" s="512"/>
      <c r="M191" s="512"/>
      <c r="N191" s="512"/>
      <c r="O191" s="512"/>
      <c r="P191" s="512"/>
      <c r="Q191" s="512"/>
      <c r="R191" s="512"/>
      <c r="S191" s="512">
        <v>189</v>
      </c>
      <c r="T191" s="512">
        <v>150</v>
      </c>
      <c r="U191" s="512"/>
      <c r="V191" s="512"/>
      <c r="W191" s="512"/>
      <c r="X191" s="512"/>
      <c r="Y191" s="511"/>
    </row>
    <row r="192" spans="12:25" x14ac:dyDescent="0.2">
      <c r="L192" s="512"/>
      <c r="M192" s="512"/>
      <c r="N192" s="512"/>
      <c r="O192" s="512"/>
      <c r="P192" s="512"/>
      <c r="Q192" s="512"/>
      <c r="R192" s="512"/>
      <c r="S192" s="512">
        <v>190</v>
      </c>
      <c r="T192" s="512">
        <v>150</v>
      </c>
      <c r="U192" s="512"/>
      <c r="V192" s="512"/>
      <c r="W192" s="512"/>
      <c r="X192" s="512"/>
      <c r="Y192" s="511"/>
    </row>
    <row r="193" spans="12:25" x14ac:dyDescent="0.2">
      <c r="L193" s="512"/>
      <c r="M193" s="512"/>
      <c r="N193" s="512"/>
      <c r="O193" s="512"/>
      <c r="P193" s="512"/>
      <c r="Q193" s="512"/>
      <c r="R193" s="512"/>
      <c r="S193" s="512">
        <v>191</v>
      </c>
      <c r="T193" s="512">
        <v>150</v>
      </c>
      <c r="U193" s="512"/>
      <c r="V193" s="512"/>
      <c r="W193" s="512"/>
      <c r="X193" s="512"/>
      <c r="Y193" s="511"/>
    </row>
    <row r="194" spans="12:25" x14ac:dyDescent="0.2">
      <c r="L194" s="512"/>
      <c r="M194" s="512"/>
      <c r="N194" s="512"/>
      <c r="O194" s="512"/>
      <c r="P194" s="512"/>
      <c r="Q194" s="512"/>
      <c r="R194" s="512"/>
      <c r="S194" s="512">
        <v>192</v>
      </c>
      <c r="T194" s="512">
        <v>150</v>
      </c>
      <c r="U194" s="512"/>
      <c r="V194" s="512"/>
      <c r="W194" s="512"/>
      <c r="X194" s="512"/>
      <c r="Y194" s="511"/>
    </row>
    <row r="195" spans="12:25" x14ac:dyDescent="0.2">
      <c r="L195" s="512"/>
      <c r="M195" s="512"/>
      <c r="N195" s="512"/>
      <c r="O195" s="512"/>
      <c r="P195" s="512"/>
      <c r="Q195" s="512"/>
      <c r="R195" s="512"/>
      <c r="S195" s="512">
        <v>193</v>
      </c>
      <c r="T195" s="512">
        <v>150</v>
      </c>
      <c r="U195" s="512"/>
      <c r="V195" s="512"/>
      <c r="W195" s="512"/>
      <c r="X195" s="512"/>
      <c r="Y195" s="511"/>
    </row>
    <row r="196" spans="12:25" x14ac:dyDescent="0.2">
      <c r="L196" s="512"/>
      <c r="M196" s="512"/>
      <c r="N196" s="512"/>
      <c r="O196" s="512"/>
      <c r="P196" s="512"/>
      <c r="Q196" s="512"/>
      <c r="R196" s="512"/>
      <c r="S196" s="512">
        <v>194</v>
      </c>
      <c r="T196" s="512">
        <v>150</v>
      </c>
      <c r="U196" s="512"/>
      <c r="V196" s="512"/>
      <c r="W196" s="512"/>
      <c r="X196" s="512"/>
      <c r="Y196" s="511"/>
    </row>
    <row r="197" spans="12:25" x14ac:dyDescent="0.2">
      <c r="L197" s="512"/>
      <c r="M197" s="512"/>
      <c r="N197" s="512"/>
      <c r="O197" s="512"/>
      <c r="P197" s="512"/>
      <c r="Q197" s="512"/>
      <c r="R197" s="512"/>
      <c r="S197" s="512">
        <v>195</v>
      </c>
      <c r="T197" s="512">
        <v>150</v>
      </c>
      <c r="U197" s="512"/>
      <c r="V197" s="512"/>
      <c r="W197" s="512"/>
      <c r="X197" s="512"/>
      <c r="Y197" s="511"/>
    </row>
    <row r="198" spans="12:25" x14ac:dyDescent="0.2">
      <c r="L198" s="512"/>
      <c r="M198" s="512"/>
      <c r="N198" s="512"/>
      <c r="O198" s="512"/>
      <c r="P198" s="512"/>
      <c r="Q198" s="512"/>
      <c r="R198" s="512"/>
      <c r="S198" s="512">
        <v>196</v>
      </c>
      <c r="T198" s="512">
        <v>150</v>
      </c>
      <c r="U198" s="512"/>
      <c r="V198" s="512"/>
      <c r="W198" s="512"/>
      <c r="X198" s="512"/>
      <c r="Y198" s="511"/>
    </row>
    <row r="199" spans="12:25" x14ac:dyDescent="0.2">
      <c r="L199" s="512"/>
      <c r="M199" s="512"/>
      <c r="N199" s="512"/>
      <c r="O199" s="512"/>
      <c r="P199" s="512"/>
      <c r="Q199" s="512"/>
      <c r="R199" s="512"/>
      <c r="S199" s="512">
        <v>197</v>
      </c>
      <c r="T199" s="512">
        <v>150</v>
      </c>
      <c r="U199" s="512"/>
      <c r="V199" s="512"/>
      <c r="W199" s="512"/>
      <c r="X199" s="512"/>
      <c r="Y199" s="511"/>
    </row>
    <row r="200" spans="12:25" x14ac:dyDescent="0.2">
      <c r="L200" s="512"/>
      <c r="M200" s="512"/>
      <c r="N200" s="512"/>
      <c r="O200" s="512"/>
      <c r="P200" s="512"/>
      <c r="Q200" s="512"/>
      <c r="R200" s="512"/>
      <c r="S200" s="512">
        <v>198</v>
      </c>
      <c r="T200" s="512">
        <v>150</v>
      </c>
      <c r="U200" s="512"/>
      <c r="V200" s="512"/>
      <c r="W200" s="512"/>
      <c r="X200" s="512"/>
      <c r="Y200" s="511"/>
    </row>
    <row r="201" spans="12:25" x14ac:dyDescent="0.2">
      <c r="L201" s="512"/>
      <c r="M201" s="512"/>
      <c r="N201" s="512"/>
      <c r="O201" s="512"/>
      <c r="P201" s="512"/>
      <c r="Q201" s="512"/>
      <c r="R201" s="512"/>
      <c r="S201" s="512">
        <v>199</v>
      </c>
      <c r="T201" s="512">
        <v>150</v>
      </c>
      <c r="U201" s="512"/>
      <c r="V201" s="512"/>
      <c r="W201" s="512"/>
      <c r="X201" s="512"/>
      <c r="Y201" s="511"/>
    </row>
    <row r="202" spans="12:25" x14ac:dyDescent="0.2">
      <c r="L202" s="512"/>
      <c r="M202" s="512"/>
      <c r="N202" s="512"/>
      <c r="O202" s="512"/>
      <c r="P202" s="512"/>
      <c r="Q202" s="512"/>
      <c r="R202" s="512"/>
      <c r="S202" s="512">
        <v>200</v>
      </c>
      <c r="T202" s="512">
        <v>150</v>
      </c>
      <c r="U202" s="512">
        <v>200</v>
      </c>
      <c r="V202" s="512"/>
      <c r="W202" s="512"/>
      <c r="X202" s="512"/>
      <c r="Y202" s="511"/>
    </row>
    <row r="203" spans="12:25" x14ac:dyDescent="0.2">
      <c r="L203" s="512"/>
      <c r="M203" s="512"/>
      <c r="N203" s="512"/>
      <c r="O203" s="512"/>
      <c r="P203" s="512"/>
      <c r="Q203" s="512"/>
      <c r="R203" s="512"/>
      <c r="S203" s="512">
        <v>201</v>
      </c>
      <c r="T203" s="512">
        <v>150</v>
      </c>
      <c r="U203" s="512"/>
      <c r="V203" s="512"/>
      <c r="W203" s="512"/>
      <c r="X203" s="512"/>
      <c r="Y203" s="511"/>
    </row>
    <row r="204" spans="12:25" x14ac:dyDescent="0.2">
      <c r="L204" s="512"/>
      <c r="M204" s="512"/>
      <c r="N204" s="512"/>
      <c r="O204" s="512"/>
      <c r="P204" s="512"/>
      <c r="Q204" s="512"/>
      <c r="R204" s="512"/>
      <c r="S204" s="512">
        <v>202</v>
      </c>
      <c r="T204" s="512">
        <v>150</v>
      </c>
      <c r="U204" s="512"/>
      <c r="V204" s="512"/>
      <c r="W204" s="512"/>
      <c r="X204" s="512"/>
      <c r="Y204" s="511"/>
    </row>
    <row r="205" spans="12:25" x14ac:dyDescent="0.2">
      <c r="L205" s="512"/>
      <c r="M205" s="512"/>
      <c r="N205" s="512"/>
      <c r="O205" s="512"/>
      <c r="P205" s="512"/>
      <c r="Q205" s="512"/>
      <c r="R205" s="512"/>
      <c r="S205" s="512">
        <v>203</v>
      </c>
      <c r="T205" s="512">
        <v>150</v>
      </c>
      <c r="U205" s="512"/>
      <c r="V205" s="512"/>
      <c r="W205" s="512"/>
      <c r="X205" s="512"/>
      <c r="Y205" s="511"/>
    </row>
    <row r="206" spans="12:25" x14ac:dyDescent="0.2">
      <c r="L206" s="512"/>
      <c r="M206" s="512"/>
      <c r="N206" s="512"/>
      <c r="O206" s="512"/>
      <c r="P206" s="512"/>
      <c r="Q206" s="512"/>
      <c r="R206" s="512"/>
      <c r="S206" s="512">
        <v>204</v>
      </c>
      <c r="T206" s="512">
        <v>150</v>
      </c>
      <c r="U206" s="512"/>
      <c r="V206" s="512"/>
      <c r="W206" s="512"/>
      <c r="X206" s="512"/>
      <c r="Y206" s="511"/>
    </row>
    <row r="207" spans="12:25" x14ac:dyDescent="0.2">
      <c r="L207" s="512"/>
      <c r="M207" s="512"/>
      <c r="N207" s="512"/>
      <c r="O207" s="512"/>
      <c r="P207" s="512"/>
      <c r="Q207" s="512"/>
      <c r="R207" s="512"/>
      <c r="S207" s="512">
        <v>205</v>
      </c>
      <c r="T207" s="512">
        <v>150</v>
      </c>
      <c r="U207" s="512"/>
      <c r="V207" s="512"/>
      <c r="W207" s="512"/>
      <c r="X207" s="512"/>
      <c r="Y207" s="511"/>
    </row>
    <row r="208" spans="12:25" x14ac:dyDescent="0.2">
      <c r="L208" s="512"/>
      <c r="M208" s="512"/>
      <c r="N208" s="512"/>
      <c r="O208" s="512"/>
      <c r="P208" s="512"/>
      <c r="Q208" s="512"/>
      <c r="R208" s="512"/>
      <c r="S208" s="512">
        <v>206</v>
      </c>
      <c r="T208" s="512">
        <v>150</v>
      </c>
      <c r="U208" s="512"/>
      <c r="V208" s="512"/>
      <c r="W208" s="512"/>
      <c r="X208" s="512"/>
      <c r="Y208" s="511"/>
    </row>
    <row r="209" spans="12:25" x14ac:dyDescent="0.2">
      <c r="L209" s="512"/>
      <c r="M209" s="512"/>
      <c r="N209" s="512"/>
      <c r="O209" s="512"/>
      <c r="P209" s="512"/>
      <c r="Q209" s="512"/>
      <c r="R209" s="512"/>
      <c r="S209" s="512">
        <v>207</v>
      </c>
      <c r="T209" s="512">
        <v>150</v>
      </c>
      <c r="U209" s="512"/>
      <c r="V209" s="512"/>
      <c r="W209" s="512"/>
      <c r="X209" s="512"/>
      <c r="Y209" s="511"/>
    </row>
    <row r="210" spans="12:25" x14ac:dyDescent="0.2">
      <c r="L210" s="512"/>
      <c r="M210" s="512"/>
      <c r="N210" s="512"/>
      <c r="O210" s="512"/>
      <c r="P210" s="512"/>
      <c r="Q210" s="512"/>
      <c r="R210" s="512"/>
      <c r="S210" s="512">
        <v>208</v>
      </c>
      <c r="T210" s="512">
        <v>150</v>
      </c>
      <c r="U210" s="512"/>
      <c r="V210" s="512"/>
      <c r="W210" s="512"/>
      <c r="X210" s="512"/>
      <c r="Y210" s="511"/>
    </row>
    <row r="211" spans="12:25" x14ac:dyDescent="0.2">
      <c r="L211" s="512"/>
      <c r="M211" s="512"/>
      <c r="N211" s="512"/>
      <c r="O211" s="512"/>
      <c r="P211" s="512"/>
      <c r="Q211" s="512"/>
      <c r="R211" s="512"/>
      <c r="S211" s="512">
        <v>209</v>
      </c>
      <c r="T211" s="512">
        <v>150</v>
      </c>
      <c r="U211" s="512"/>
      <c r="V211" s="512"/>
      <c r="W211" s="512"/>
      <c r="X211" s="512"/>
      <c r="Y211" s="511"/>
    </row>
    <row r="212" spans="12:25" x14ac:dyDescent="0.2">
      <c r="L212" s="512"/>
      <c r="M212" s="512"/>
      <c r="N212" s="512"/>
      <c r="O212" s="512"/>
      <c r="P212" s="512"/>
      <c r="Q212" s="512"/>
      <c r="R212" s="512"/>
      <c r="S212" s="512">
        <v>210</v>
      </c>
      <c r="T212" s="512">
        <v>150</v>
      </c>
      <c r="U212" s="512"/>
      <c r="V212" s="512"/>
      <c r="W212" s="512"/>
      <c r="X212" s="512"/>
      <c r="Y212" s="511"/>
    </row>
    <row r="213" spans="12:25" x14ac:dyDescent="0.2">
      <c r="L213" s="512"/>
      <c r="M213" s="512"/>
      <c r="N213" s="512"/>
      <c r="O213" s="512"/>
      <c r="P213" s="512"/>
      <c r="Q213" s="512"/>
      <c r="R213" s="512"/>
      <c r="S213" s="512">
        <v>211</v>
      </c>
      <c r="T213" s="512">
        <v>150</v>
      </c>
      <c r="U213" s="512"/>
      <c r="V213" s="512"/>
      <c r="W213" s="512"/>
      <c r="X213" s="512"/>
      <c r="Y213" s="511"/>
    </row>
    <row r="214" spans="12:25" x14ac:dyDescent="0.2">
      <c r="L214" s="512"/>
      <c r="M214" s="512"/>
      <c r="N214" s="512"/>
      <c r="O214" s="512"/>
      <c r="P214" s="512"/>
      <c r="Q214" s="512"/>
      <c r="R214" s="512"/>
      <c r="S214" s="512">
        <v>212</v>
      </c>
      <c r="T214" s="512">
        <v>150</v>
      </c>
      <c r="U214" s="512"/>
      <c r="V214" s="512"/>
      <c r="W214" s="512"/>
      <c r="X214" s="512"/>
      <c r="Y214" s="511"/>
    </row>
    <row r="215" spans="12:25" x14ac:dyDescent="0.2">
      <c r="L215" s="512"/>
      <c r="M215" s="512"/>
      <c r="N215" s="512"/>
      <c r="O215" s="512"/>
      <c r="P215" s="512"/>
      <c r="Q215" s="512"/>
      <c r="R215" s="512"/>
      <c r="S215" s="512">
        <v>213</v>
      </c>
      <c r="T215" s="512">
        <v>150</v>
      </c>
      <c r="U215" s="512"/>
      <c r="V215" s="512"/>
      <c r="W215" s="512"/>
      <c r="X215" s="512"/>
      <c r="Y215" s="511"/>
    </row>
    <row r="216" spans="12:25" x14ac:dyDescent="0.2">
      <c r="L216" s="512"/>
      <c r="M216" s="512"/>
      <c r="N216" s="512"/>
      <c r="O216" s="512"/>
      <c r="P216" s="512"/>
      <c r="Q216" s="512"/>
      <c r="R216" s="512"/>
      <c r="S216" s="512">
        <v>214</v>
      </c>
      <c r="T216" s="512">
        <v>150</v>
      </c>
      <c r="U216" s="512"/>
      <c r="V216" s="512"/>
      <c r="W216" s="512"/>
      <c r="X216" s="512"/>
      <c r="Y216" s="511"/>
    </row>
    <row r="217" spans="12:25" x14ac:dyDescent="0.2">
      <c r="L217" s="512"/>
      <c r="M217" s="512"/>
      <c r="N217" s="512"/>
      <c r="O217" s="512"/>
      <c r="P217" s="512"/>
      <c r="Q217" s="512"/>
      <c r="R217" s="512"/>
      <c r="S217" s="512">
        <v>215</v>
      </c>
      <c r="T217" s="512">
        <v>150</v>
      </c>
      <c r="U217" s="512"/>
      <c r="V217" s="512"/>
      <c r="W217" s="512"/>
      <c r="X217" s="512"/>
      <c r="Y217" s="511"/>
    </row>
    <row r="218" spans="12:25" x14ac:dyDescent="0.2">
      <c r="L218" s="512"/>
      <c r="M218" s="512"/>
      <c r="N218" s="512"/>
      <c r="O218" s="512"/>
      <c r="P218" s="512"/>
      <c r="Q218" s="512"/>
      <c r="R218" s="512"/>
      <c r="S218" s="512">
        <v>216</v>
      </c>
      <c r="T218" s="512">
        <v>150</v>
      </c>
      <c r="U218" s="512"/>
      <c r="V218" s="512"/>
      <c r="W218" s="512"/>
      <c r="X218" s="512"/>
      <c r="Y218" s="511"/>
    </row>
    <row r="219" spans="12:25" x14ac:dyDescent="0.2">
      <c r="L219" s="512"/>
      <c r="M219" s="512"/>
      <c r="N219" s="512"/>
      <c r="O219" s="512"/>
      <c r="P219" s="512"/>
      <c r="Q219" s="512"/>
      <c r="R219" s="512"/>
      <c r="S219" s="512">
        <v>217</v>
      </c>
      <c r="T219" s="512">
        <v>150</v>
      </c>
      <c r="U219" s="512"/>
      <c r="V219" s="512"/>
      <c r="W219" s="512"/>
      <c r="X219" s="512"/>
      <c r="Y219" s="511"/>
    </row>
    <row r="220" spans="12:25" x14ac:dyDescent="0.2">
      <c r="L220" s="512"/>
      <c r="M220" s="512"/>
      <c r="N220" s="512"/>
      <c r="O220" s="512"/>
      <c r="P220" s="512"/>
      <c r="Q220" s="512"/>
      <c r="R220" s="512"/>
      <c r="S220" s="512">
        <v>218</v>
      </c>
      <c r="T220" s="512">
        <v>150</v>
      </c>
      <c r="U220" s="512"/>
      <c r="V220" s="512"/>
      <c r="W220" s="512"/>
      <c r="X220" s="512"/>
      <c r="Y220" s="511"/>
    </row>
    <row r="221" spans="12:25" x14ac:dyDescent="0.2">
      <c r="L221" s="512"/>
      <c r="M221" s="512"/>
      <c r="N221" s="512"/>
      <c r="O221" s="512"/>
      <c r="P221" s="512"/>
      <c r="Q221" s="512"/>
      <c r="R221" s="512"/>
      <c r="S221" s="512">
        <v>219</v>
      </c>
      <c r="T221" s="512">
        <v>150</v>
      </c>
      <c r="U221" s="512"/>
      <c r="V221" s="512"/>
      <c r="W221" s="512"/>
      <c r="X221" s="512"/>
      <c r="Y221" s="511"/>
    </row>
    <row r="222" spans="12:25" x14ac:dyDescent="0.2">
      <c r="L222" s="512"/>
      <c r="M222" s="512"/>
      <c r="N222" s="512"/>
      <c r="O222" s="512"/>
      <c r="P222" s="512"/>
      <c r="Q222" s="512"/>
      <c r="R222" s="512"/>
      <c r="S222" s="512">
        <v>220</v>
      </c>
      <c r="T222" s="512">
        <v>150</v>
      </c>
      <c r="U222" s="512"/>
      <c r="V222" s="512"/>
      <c r="W222" s="512"/>
      <c r="X222" s="512"/>
      <c r="Y222" s="511"/>
    </row>
    <row r="223" spans="12:25" x14ac:dyDescent="0.2">
      <c r="L223" s="512"/>
      <c r="M223" s="512"/>
      <c r="N223" s="512"/>
      <c r="O223" s="512"/>
      <c r="P223" s="512"/>
      <c r="Q223" s="512"/>
      <c r="R223" s="512"/>
      <c r="S223" s="512">
        <v>221</v>
      </c>
      <c r="T223" s="512">
        <v>150</v>
      </c>
      <c r="U223" s="512"/>
      <c r="V223" s="512"/>
      <c r="W223" s="512"/>
      <c r="X223" s="512"/>
      <c r="Y223" s="511"/>
    </row>
    <row r="224" spans="12:25" x14ac:dyDescent="0.2">
      <c r="L224" s="512"/>
      <c r="M224" s="512"/>
      <c r="N224" s="512"/>
      <c r="O224" s="512"/>
      <c r="P224" s="512"/>
      <c r="Q224" s="512"/>
      <c r="R224" s="512"/>
      <c r="S224" s="512">
        <v>222</v>
      </c>
      <c r="T224" s="512">
        <v>150</v>
      </c>
      <c r="U224" s="512"/>
      <c r="V224" s="512"/>
      <c r="W224" s="512"/>
      <c r="X224" s="512"/>
      <c r="Y224" s="511"/>
    </row>
    <row r="225" spans="12:25" x14ac:dyDescent="0.2">
      <c r="L225" s="512"/>
      <c r="M225" s="512"/>
      <c r="N225" s="512"/>
      <c r="O225" s="512"/>
      <c r="P225" s="512"/>
      <c r="Q225" s="512"/>
      <c r="R225" s="512"/>
      <c r="S225" s="512">
        <v>223</v>
      </c>
      <c r="T225" s="512">
        <v>150</v>
      </c>
      <c r="U225" s="512"/>
      <c r="V225" s="512"/>
      <c r="W225" s="512"/>
      <c r="X225" s="512"/>
      <c r="Y225" s="511"/>
    </row>
    <row r="226" spans="12:25" x14ac:dyDescent="0.2">
      <c r="L226" s="512"/>
      <c r="M226" s="512"/>
      <c r="N226" s="512"/>
      <c r="O226" s="512"/>
      <c r="P226" s="512"/>
      <c r="Q226" s="512"/>
      <c r="R226" s="512"/>
      <c r="S226" s="512">
        <v>224</v>
      </c>
      <c r="T226" s="512">
        <v>150</v>
      </c>
      <c r="U226" s="512"/>
      <c r="V226" s="512"/>
      <c r="W226" s="512"/>
      <c r="X226" s="512"/>
      <c r="Y226" s="511"/>
    </row>
    <row r="227" spans="12:25" x14ac:dyDescent="0.2">
      <c r="L227" s="512"/>
      <c r="M227" s="512"/>
      <c r="N227" s="512"/>
      <c r="O227" s="512"/>
      <c r="P227" s="512"/>
      <c r="Q227" s="512"/>
      <c r="R227" s="512"/>
      <c r="S227" s="512">
        <v>225</v>
      </c>
      <c r="T227" s="512">
        <v>150</v>
      </c>
      <c r="U227" s="512"/>
      <c r="V227" s="512"/>
      <c r="W227" s="512"/>
      <c r="X227" s="512"/>
      <c r="Y227" s="511"/>
    </row>
    <row r="228" spans="12:25" x14ac:dyDescent="0.2">
      <c r="L228" s="512"/>
      <c r="M228" s="512"/>
      <c r="N228" s="512"/>
      <c r="O228" s="512"/>
      <c r="P228" s="512"/>
      <c r="Q228" s="512"/>
      <c r="R228" s="512"/>
      <c r="S228" s="512">
        <v>226</v>
      </c>
      <c r="T228" s="512">
        <v>150</v>
      </c>
      <c r="U228" s="512"/>
      <c r="V228" s="512"/>
      <c r="W228" s="512"/>
      <c r="X228" s="512"/>
      <c r="Y228" s="511"/>
    </row>
    <row r="229" spans="12:25" x14ac:dyDescent="0.2">
      <c r="L229" s="512"/>
      <c r="M229" s="512"/>
      <c r="N229" s="512"/>
      <c r="O229" s="512"/>
      <c r="P229" s="512"/>
      <c r="Q229" s="512"/>
      <c r="R229" s="512"/>
      <c r="S229" s="512">
        <v>227</v>
      </c>
      <c r="T229" s="512">
        <v>150</v>
      </c>
      <c r="U229" s="512"/>
      <c r="V229" s="512"/>
      <c r="W229" s="512"/>
      <c r="X229" s="512"/>
      <c r="Y229" s="511"/>
    </row>
    <row r="230" spans="12:25" x14ac:dyDescent="0.2">
      <c r="L230" s="512"/>
      <c r="M230" s="512"/>
      <c r="N230" s="512"/>
      <c r="O230" s="512"/>
      <c r="P230" s="512"/>
      <c r="Q230" s="512"/>
      <c r="R230" s="512"/>
      <c r="S230" s="512">
        <v>228</v>
      </c>
      <c r="T230" s="512">
        <v>150</v>
      </c>
      <c r="U230" s="512"/>
      <c r="V230" s="512"/>
      <c r="W230" s="512"/>
      <c r="X230" s="512"/>
      <c r="Y230" s="511"/>
    </row>
    <row r="231" spans="12:25" x14ac:dyDescent="0.2">
      <c r="L231" s="512"/>
      <c r="M231" s="512"/>
      <c r="N231" s="512"/>
      <c r="O231" s="512"/>
      <c r="P231" s="512"/>
      <c r="Q231" s="512"/>
      <c r="R231" s="512"/>
      <c r="S231" s="512">
        <v>229</v>
      </c>
      <c r="T231" s="512">
        <v>150</v>
      </c>
      <c r="U231" s="512"/>
      <c r="V231" s="512"/>
      <c r="W231" s="512"/>
      <c r="X231" s="512"/>
      <c r="Y231" s="511"/>
    </row>
    <row r="232" spans="12:25" x14ac:dyDescent="0.2">
      <c r="L232" s="512"/>
      <c r="M232" s="512"/>
      <c r="N232" s="512"/>
      <c r="O232" s="512"/>
      <c r="P232" s="512"/>
      <c r="Q232" s="512"/>
      <c r="R232" s="512"/>
      <c r="S232" s="512">
        <v>230</v>
      </c>
      <c r="T232" s="512">
        <v>150</v>
      </c>
      <c r="U232" s="512"/>
      <c r="V232" s="512"/>
      <c r="W232" s="512"/>
      <c r="X232" s="512"/>
      <c r="Y232" s="511"/>
    </row>
    <row r="233" spans="12:25" x14ac:dyDescent="0.2">
      <c r="L233" s="512"/>
      <c r="M233" s="512"/>
      <c r="N233" s="512"/>
      <c r="O233" s="512"/>
      <c r="P233" s="512"/>
      <c r="Q233" s="512"/>
      <c r="R233" s="512"/>
      <c r="S233" s="512">
        <v>231</v>
      </c>
      <c r="T233" s="512">
        <v>150</v>
      </c>
      <c r="U233" s="512"/>
      <c r="V233" s="512"/>
      <c r="W233" s="512"/>
      <c r="X233" s="512"/>
      <c r="Y233" s="511"/>
    </row>
    <row r="234" spans="12:25" x14ac:dyDescent="0.2">
      <c r="L234" s="512"/>
      <c r="M234" s="512"/>
      <c r="N234" s="512"/>
      <c r="O234" s="512"/>
      <c r="P234" s="512"/>
      <c r="Q234" s="512"/>
      <c r="R234" s="512"/>
      <c r="S234" s="512">
        <v>232</v>
      </c>
      <c r="T234" s="512">
        <v>150</v>
      </c>
      <c r="U234" s="512"/>
      <c r="V234" s="512"/>
      <c r="W234" s="512"/>
      <c r="X234" s="512"/>
      <c r="Y234" s="511"/>
    </row>
    <row r="235" spans="12:25" x14ac:dyDescent="0.2">
      <c r="L235" s="512"/>
      <c r="M235" s="512"/>
      <c r="N235" s="512"/>
      <c r="O235" s="512"/>
      <c r="P235" s="512"/>
      <c r="Q235" s="512"/>
      <c r="R235" s="512"/>
      <c r="S235" s="512">
        <v>233</v>
      </c>
      <c r="T235" s="512">
        <v>150</v>
      </c>
      <c r="U235" s="512"/>
      <c r="V235" s="512"/>
      <c r="W235" s="512"/>
      <c r="X235" s="512"/>
      <c r="Y235" s="511"/>
    </row>
    <row r="236" spans="12:25" x14ac:dyDescent="0.2">
      <c r="L236" s="512"/>
      <c r="M236" s="512"/>
      <c r="N236" s="512"/>
      <c r="O236" s="512"/>
      <c r="P236" s="512"/>
      <c r="Q236" s="512"/>
      <c r="R236" s="512"/>
      <c r="S236" s="512">
        <v>234</v>
      </c>
      <c r="T236" s="512">
        <v>150</v>
      </c>
      <c r="U236" s="512"/>
      <c r="V236" s="512"/>
      <c r="W236" s="512"/>
      <c r="X236" s="512"/>
      <c r="Y236" s="511"/>
    </row>
    <row r="237" spans="12:25" x14ac:dyDescent="0.2">
      <c r="L237" s="512"/>
      <c r="M237" s="512"/>
      <c r="N237" s="512"/>
      <c r="O237" s="512"/>
      <c r="P237" s="512"/>
      <c r="Q237" s="512"/>
      <c r="R237" s="512"/>
      <c r="S237" s="512">
        <v>235</v>
      </c>
      <c r="T237" s="512">
        <v>150</v>
      </c>
      <c r="U237" s="512"/>
      <c r="V237" s="512"/>
      <c r="W237" s="512"/>
      <c r="X237" s="512"/>
      <c r="Y237" s="511"/>
    </row>
    <row r="238" spans="12:25" x14ac:dyDescent="0.2">
      <c r="L238" s="512"/>
      <c r="M238" s="512"/>
      <c r="N238" s="512"/>
      <c r="O238" s="512"/>
      <c r="P238" s="512"/>
      <c r="Q238" s="512"/>
      <c r="R238" s="512"/>
      <c r="S238" s="512">
        <v>236</v>
      </c>
      <c r="T238" s="512">
        <v>150</v>
      </c>
      <c r="U238" s="512"/>
      <c r="V238" s="512"/>
      <c r="W238" s="512"/>
      <c r="X238" s="512"/>
      <c r="Y238" s="511"/>
    </row>
    <row r="239" spans="12:25" x14ac:dyDescent="0.2">
      <c r="L239" s="512"/>
      <c r="M239" s="512"/>
      <c r="N239" s="512"/>
      <c r="O239" s="512"/>
      <c r="P239" s="512"/>
      <c r="Q239" s="512"/>
      <c r="R239" s="512"/>
      <c r="S239" s="512">
        <v>237</v>
      </c>
      <c r="T239" s="512">
        <v>150</v>
      </c>
      <c r="U239" s="512"/>
      <c r="V239" s="512"/>
      <c r="W239" s="512"/>
      <c r="X239" s="512"/>
      <c r="Y239" s="511"/>
    </row>
    <row r="240" spans="12:25" x14ac:dyDescent="0.2">
      <c r="L240" s="512"/>
      <c r="M240" s="512"/>
      <c r="N240" s="512"/>
      <c r="O240" s="512"/>
      <c r="P240" s="512"/>
      <c r="Q240" s="512"/>
      <c r="R240" s="512"/>
      <c r="S240" s="512">
        <v>238</v>
      </c>
      <c r="T240" s="512">
        <v>150</v>
      </c>
      <c r="U240" s="512"/>
      <c r="V240" s="512"/>
      <c r="W240" s="512"/>
      <c r="X240" s="512"/>
      <c r="Y240" s="511"/>
    </row>
    <row r="241" spans="12:25" x14ac:dyDescent="0.2">
      <c r="L241" s="512"/>
      <c r="M241" s="512"/>
      <c r="N241" s="512"/>
      <c r="O241" s="512"/>
      <c r="P241" s="512"/>
      <c r="Q241" s="512"/>
      <c r="R241" s="512"/>
      <c r="S241" s="512">
        <v>239</v>
      </c>
      <c r="T241" s="512">
        <v>150</v>
      </c>
      <c r="U241" s="512"/>
      <c r="V241" s="512"/>
      <c r="W241" s="512"/>
      <c r="X241" s="512"/>
      <c r="Y241" s="511"/>
    </row>
    <row r="242" spans="12:25" x14ac:dyDescent="0.2">
      <c r="L242" s="512"/>
      <c r="M242" s="512"/>
      <c r="N242" s="512"/>
      <c r="O242" s="512"/>
      <c r="P242" s="512"/>
      <c r="Q242" s="512"/>
      <c r="R242" s="512"/>
      <c r="S242" s="512">
        <v>240</v>
      </c>
      <c r="T242" s="512">
        <v>150</v>
      </c>
      <c r="U242" s="512"/>
      <c r="V242" s="512"/>
      <c r="W242" s="512"/>
      <c r="X242" s="512"/>
      <c r="Y242" s="511"/>
    </row>
    <row r="243" spans="12:25" x14ac:dyDescent="0.2">
      <c r="L243" s="512"/>
      <c r="M243" s="512"/>
      <c r="N243" s="512"/>
      <c r="O243" s="512"/>
      <c r="P243" s="512"/>
      <c r="Q243" s="512"/>
      <c r="R243" s="512"/>
      <c r="S243" s="512">
        <v>241</v>
      </c>
      <c r="T243" s="512">
        <v>150</v>
      </c>
      <c r="U243" s="512"/>
      <c r="V243" s="512"/>
      <c r="W243" s="512"/>
      <c r="X243" s="512"/>
      <c r="Y243" s="511"/>
    </row>
    <row r="244" spans="12:25" x14ac:dyDescent="0.2">
      <c r="L244" s="512"/>
      <c r="M244" s="512"/>
      <c r="N244" s="512"/>
      <c r="O244" s="512"/>
      <c r="P244" s="512"/>
      <c r="Q244" s="512"/>
      <c r="R244" s="512"/>
      <c r="S244" s="512">
        <v>242</v>
      </c>
      <c r="T244" s="512">
        <v>150</v>
      </c>
      <c r="U244" s="512"/>
      <c r="V244" s="512"/>
      <c r="W244" s="512"/>
      <c r="X244" s="512"/>
      <c r="Y244" s="511"/>
    </row>
    <row r="245" spans="12:25" x14ac:dyDescent="0.2">
      <c r="L245" s="512"/>
      <c r="M245" s="512"/>
      <c r="N245" s="512"/>
      <c r="O245" s="512"/>
      <c r="P245" s="512"/>
      <c r="Q245" s="512"/>
      <c r="R245" s="512"/>
      <c r="S245" s="512">
        <v>243</v>
      </c>
      <c r="T245" s="512">
        <v>150</v>
      </c>
      <c r="U245" s="512"/>
      <c r="V245" s="512"/>
      <c r="W245" s="512"/>
      <c r="X245" s="512"/>
      <c r="Y245" s="511"/>
    </row>
    <row r="246" spans="12:25" x14ac:dyDescent="0.2">
      <c r="L246" s="512"/>
      <c r="M246" s="512"/>
      <c r="N246" s="512"/>
      <c r="O246" s="512"/>
      <c r="P246" s="512"/>
      <c r="Q246" s="512"/>
      <c r="R246" s="512"/>
      <c r="S246" s="512">
        <v>244</v>
      </c>
      <c r="T246" s="512">
        <v>150</v>
      </c>
      <c r="U246" s="512"/>
      <c r="V246" s="512"/>
      <c r="W246" s="512"/>
      <c r="X246" s="512"/>
      <c r="Y246" s="511"/>
    </row>
    <row r="247" spans="12:25" x14ac:dyDescent="0.2">
      <c r="L247" s="512"/>
      <c r="M247" s="512"/>
      <c r="N247" s="512"/>
      <c r="O247" s="512"/>
      <c r="P247" s="512"/>
      <c r="Q247" s="512"/>
      <c r="R247" s="512"/>
      <c r="S247" s="512">
        <v>245</v>
      </c>
      <c r="T247" s="512">
        <v>150</v>
      </c>
      <c r="U247" s="512"/>
      <c r="V247" s="512"/>
      <c r="W247" s="512"/>
      <c r="X247" s="512"/>
      <c r="Y247" s="511"/>
    </row>
    <row r="248" spans="12:25" x14ac:dyDescent="0.2">
      <c r="L248" s="512"/>
      <c r="M248" s="512"/>
      <c r="N248" s="512"/>
      <c r="O248" s="512"/>
      <c r="P248" s="512"/>
      <c r="Q248" s="512"/>
      <c r="R248" s="512"/>
      <c r="S248" s="512">
        <v>246</v>
      </c>
      <c r="T248" s="512">
        <v>150</v>
      </c>
      <c r="U248" s="512"/>
      <c r="V248" s="512"/>
      <c r="W248" s="512"/>
      <c r="X248" s="512"/>
      <c r="Y248" s="511"/>
    </row>
    <row r="249" spans="12:25" x14ac:dyDescent="0.2">
      <c r="L249" s="512"/>
      <c r="M249" s="512"/>
      <c r="N249" s="512"/>
      <c r="O249" s="512"/>
      <c r="P249" s="512"/>
      <c r="Q249" s="512"/>
      <c r="R249" s="512"/>
      <c r="S249" s="512">
        <v>247</v>
      </c>
      <c r="T249" s="512">
        <v>150</v>
      </c>
      <c r="U249" s="512"/>
      <c r="V249" s="512"/>
      <c r="W249" s="512"/>
      <c r="X249" s="512"/>
      <c r="Y249" s="511"/>
    </row>
    <row r="250" spans="12:25" x14ac:dyDescent="0.2">
      <c r="L250" s="512"/>
      <c r="M250" s="512"/>
      <c r="N250" s="512"/>
      <c r="O250" s="512"/>
      <c r="P250" s="512"/>
      <c r="Q250" s="512"/>
      <c r="R250" s="512"/>
      <c r="S250" s="512">
        <v>248</v>
      </c>
      <c r="T250" s="512">
        <v>150</v>
      </c>
      <c r="U250" s="512"/>
      <c r="V250" s="512"/>
      <c r="W250" s="512"/>
      <c r="X250" s="512"/>
      <c r="Y250" s="511"/>
    </row>
    <row r="251" spans="12:25" x14ac:dyDescent="0.2">
      <c r="L251" s="512"/>
      <c r="M251" s="512"/>
      <c r="N251" s="512"/>
      <c r="O251" s="512"/>
      <c r="P251" s="512"/>
      <c r="Q251" s="512"/>
      <c r="R251" s="512"/>
      <c r="S251" s="512">
        <v>249</v>
      </c>
      <c r="T251" s="512">
        <v>150</v>
      </c>
      <c r="U251" s="512"/>
      <c r="V251" s="512"/>
      <c r="W251" s="512"/>
      <c r="X251" s="512"/>
      <c r="Y251" s="511"/>
    </row>
    <row r="252" spans="12:25" x14ac:dyDescent="0.2">
      <c r="L252" s="512"/>
      <c r="M252" s="512"/>
      <c r="N252" s="512"/>
      <c r="O252" s="512"/>
      <c r="P252" s="512"/>
      <c r="Q252" s="512"/>
      <c r="R252" s="512"/>
      <c r="S252" s="512">
        <v>250</v>
      </c>
      <c r="T252" s="512">
        <v>150</v>
      </c>
      <c r="U252" s="512"/>
      <c r="V252" s="512"/>
      <c r="W252" s="512"/>
      <c r="X252" s="512"/>
      <c r="Y252" s="511"/>
    </row>
    <row r="253" spans="12:25" x14ac:dyDescent="0.2">
      <c r="L253" s="512"/>
      <c r="M253" s="512"/>
      <c r="N253" s="512"/>
      <c r="O253" s="512"/>
      <c r="P253" s="512"/>
      <c r="Q253" s="512"/>
      <c r="R253" s="512"/>
      <c r="S253" s="512">
        <v>251</v>
      </c>
      <c r="T253" s="512">
        <v>150</v>
      </c>
      <c r="U253" s="512"/>
      <c r="V253" s="512"/>
      <c r="W253" s="512"/>
      <c r="X253" s="512"/>
      <c r="Y253" s="511"/>
    </row>
    <row r="254" spans="12:25" x14ac:dyDescent="0.2">
      <c r="L254" s="512"/>
      <c r="M254" s="512"/>
      <c r="N254" s="512"/>
      <c r="O254" s="512"/>
      <c r="P254" s="512"/>
      <c r="Q254" s="512"/>
      <c r="R254" s="512"/>
      <c r="S254" s="512">
        <v>252</v>
      </c>
      <c r="T254" s="512">
        <v>150</v>
      </c>
      <c r="U254" s="512"/>
      <c r="V254" s="512"/>
      <c r="W254" s="512"/>
      <c r="X254" s="512"/>
      <c r="Y254" s="511"/>
    </row>
    <row r="255" spans="12:25" x14ac:dyDescent="0.2">
      <c r="L255" s="512"/>
      <c r="M255" s="512"/>
      <c r="N255" s="512"/>
      <c r="O255" s="512"/>
      <c r="P255" s="512"/>
      <c r="Q255" s="512"/>
      <c r="R255" s="512"/>
      <c r="S255" s="512">
        <v>253</v>
      </c>
      <c r="T255" s="512">
        <v>150</v>
      </c>
      <c r="U255" s="512"/>
      <c r="V255" s="512"/>
      <c r="W255" s="512"/>
      <c r="X255" s="512"/>
      <c r="Y255" s="511"/>
    </row>
    <row r="256" spans="12:25" x14ac:dyDescent="0.2">
      <c r="L256" s="512"/>
      <c r="M256" s="512"/>
      <c r="N256" s="512"/>
      <c r="O256" s="512"/>
      <c r="P256" s="512"/>
      <c r="Q256" s="512"/>
      <c r="R256" s="512"/>
      <c r="S256" s="512">
        <v>254</v>
      </c>
      <c r="T256" s="512">
        <v>150</v>
      </c>
      <c r="U256" s="512"/>
      <c r="V256" s="512"/>
      <c r="W256" s="512"/>
      <c r="X256" s="512"/>
      <c r="Y256" s="511"/>
    </row>
    <row r="257" spans="12:25" x14ac:dyDescent="0.2">
      <c r="L257" s="512"/>
      <c r="M257" s="512"/>
      <c r="N257" s="512"/>
      <c r="O257" s="512"/>
      <c r="P257" s="512"/>
      <c r="Q257" s="512"/>
      <c r="R257" s="512"/>
      <c r="S257" s="512">
        <v>255</v>
      </c>
      <c r="T257" s="512">
        <v>150</v>
      </c>
      <c r="U257" s="512"/>
      <c r="V257" s="512"/>
      <c r="W257" s="512"/>
      <c r="X257" s="512"/>
      <c r="Y257" s="511"/>
    </row>
    <row r="258" spans="12:25" x14ac:dyDescent="0.2">
      <c r="L258" s="512"/>
      <c r="M258" s="512"/>
      <c r="N258" s="512"/>
      <c r="O258" s="512"/>
      <c r="P258" s="512"/>
      <c r="Q258" s="512"/>
      <c r="R258" s="512"/>
      <c r="S258" s="512">
        <v>256</v>
      </c>
      <c r="T258" s="512">
        <v>150</v>
      </c>
      <c r="U258" s="512"/>
      <c r="V258" s="512"/>
      <c r="W258" s="512"/>
      <c r="X258" s="512"/>
      <c r="Y258" s="511"/>
    </row>
    <row r="259" spans="12:25" x14ac:dyDescent="0.2">
      <c r="L259" s="512"/>
      <c r="M259" s="512"/>
      <c r="N259" s="512"/>
      <c r="O259" s="512"/>
      <c r="P259" s="512"/>
      <c r="Q259" s="512"/>
      <c r="R259" s="512"/>
      <c r="S259" s="512">
        <v>257</v>
      </c>
      <c r="T259" s="512">
        <v>150</v>
      </c>
      <c r="U259" s="512"/>
      <c r="V259" s="512"/>
      <c r="W259" s="512"/>
      <c r="X259" s="512"/>
      <c r="Y259" s="511"/>
    </row>
    <row r="260" spans="12:25" x14ac:dyDescent="0.2">
      <c r="L260" s="512"/>
      <c r="M260" s="512"/>
      <c r="N260" s="512"/>
      <c r="O260" s="512"/>
      <c r="P260" s="512"/>
      <c r="Q260" s="512"/>
      <c r="R260" s="512"/>
      <c r="S260" s="512">
        <v>258</v>
      </c>
      <c r="T260" s="512">
        <v>150</v>
      </c>
      <c r="U260" s="512"/>
      <c r="V260" s="512"/>
      <c r="W260" s="512"/>
      <c r="X260" s="512"/>
      <c r="Y260" s="511"/>
    </row>
    <row r="261" spans="12:25" x14ac:dyDescent="0.2">
      <c r="L261" s="512"/>
      <c r="M261" s="512"/>
      <c r="N261" s="512"/>
      <c r="O261" s="512"/>
      <c r="P261" s="512"/>
      <c r="Q261" s="512"/>
      <c r="R261" s="512"/>
      <c r="S261" s="512">
        <v>259</v>
      </c>
      <c r="T261" s="512">
        <v>150</v>
      </c>
      <c r="U261" s="512"/>
      <c r="V261" s="512"/>
      <c r="W261" s="512"/>
      <c r="X261" s="512"/>
      <c r="Y261" s="511"/>
    </row>
    <row r="262" spans="12:25" x14ac:dyDescent="0.2">
      <c r="L262" s="512"/>
      <c r="M262" s="512"/>
      <c r="N262" s="512"/>
      <c r="O262" s="512"/>
      <c r="P262" s="512"/>
      <c r="Q262" s="512"/>
      <c r="R262" s="512"/>
      <c r="S262" s="512">
        <v>260</v>
      </c>
      <c r="T262" s="512">
        <v>150</v>
      </c>
      <c r="U262" s="512"/>
      <c r="V262" s="512"/>
      <c r="W262" s="512"/>
      <c r="X262" s="512"/>
      <c r="Y262" s="511"/>
    </row>
    <row r="263" spans="12:25" x14ac:dyDescent="0.2">
      <c r="L263" s="512"/>
      <c r="M263" s="512"/>
      <c r="N263" s="512"/>
      <c r="O263" s="512"/>
      <c r="P263" s="512"/>
      <c r="Q263" s="512"/>
      <c r="R263" s="512"/>
      <c r="S263" s="512">
        <v>261</v>
      </c>
      <c r="T263" s="512">
        <v>150</v>
      </c>
      <c r="U263" s="512"/>
      <c r="V263" s="512"/>
      <c r="W263" s="512"/>
      <c r="X263" s="512"/>
      <c r="Y263" s="511"/>
    </row>
    <row r="264" spans="12:25" x14ac:dyDescent="0.2">
      <c r="L264" s="512"/>
      <c r="M264" s="512"/>
      <c r="N264" s="512"/>
      <c r="O264" s="512"/>
      <c r="P264" s="512"/>
      <c r="Q264" s="512"/>
      <c r="R264" s="512"/>
      <c r="S264" s="512">
        <v>262</v>
      </c>
      <c r="T264" s="512">
        <v>150</v>
      </c>
      <c r="U264" s="512"/>
      <c r="V264" s="512"/>
      <c r="W264" s="512"/>
      <c r="X264" s="512"/>
      <c r="Y264" s="511"/>
    </row>
    <row r="265" spans="12:25" x14ac:dyDescent="0.2">
      <c r="L265" s="512"/>
      <c r="M265" s="512"/>
      <c r="N265" s="512"/>
      <c r="O265" s="512"/>
      <c r="P265" s="512"/>
      <c r="Q265" s="512"/>
      <c r="R265" s="512"/>
      <c r="S265" s="512">
        <v>263</v>
      </c>
      <c r="T265" s="512">
        <v>150</v>
      </c>
      <c r="U265" s="512"/>
      <c r="V265" s="512"/>
      <c r="W265" s="512"/>
      <c r="X265" s="512"/>
      <c r="Y265" s="511"/>
    </row>
    <row r="266" spans="12:25" x14ac:dyDescent="0.2">
      <c r="L266" s="512"/>
      <c r="M266" s="512"/>
      <c r="N266" s="512"/>
      <c r="O266" s="512"/>
      <c r="P266" s="512"/>
      <c r="Q266" s="512"/>
      <c r="R266" s="512"/>
      <c r="S266" s="512">
        <v>264</v>
      </c>
      <c r="T266" s="512">
        <v>150</v>
      </c>
      <c r="U266" s="512"/>
      <c r="V266" s="512"/>
      <c r="W266" s="512"/>
      <c r="X266" s="512"/>
      <c r="Y266" s="511"/>
    </row>
    <row r="267" spans="12:25" x14ac:dyDescent="0.2">
      <c r="L267" s="512"/>
      <c r="M267" s="512"/>
      <c r="N267" s="512"/>
      <c r="O267" s="512"/>
      <c r="P267" s="512"/>
      <c r="Q267" s="512"/>
      <c r="R267" s="512"/>
      <c r="S267" s="512">
        <v>265</v>
      </c>
      <c r="T267" s="512">
        <v>150</v>
      </c>
      <c r="U267" s="512"/>
      <c r="V267" s="512"/>
      <c r="W267" s="512"/>
      <c r="X267" s="512"/>
      <c r="Y267" s="511"/>
    </row>
    <row r="268" spans="12:25" x14ac:dyDescent="0.2">
      <c r="L268" s="512"/>
      <c r="M268" s="512"/>
      <c r="N268" s="512"/>
      <c r="O268" s="512"/>
      <c r="P268" s="512"/>
      <c r="Q268" s="512"/>
      <c r="R268" s="512"/>
      <c r="S268" s="512">
        <v>266</v>
      </c>
      <c r="T268" s="512">
        <v>150</v>
      </c>
      <c r="U268" s="512"/>
      <c r="V268" s="512"/>
      <c r="W268" s="512"/>
      <c r="X268" s="512"/>
      <c r="Y268" s="511"/>
    </row>
    <row r="269" spans="12:25" x14ac:dyDescent="0.2">
      <c r="L269" s="512"/>
      <c r="M269" s="512"/>
      <c r="N269" s="512"/>
      <c r="O269" s="512"/>
      <c r="P269" s="512"/>
      <c r="Q269" s="512"/>
      <c r="R269" s="512"/>
      <c r="S269" s="512">
        <v>267</v>
      </c>
      <c r="T269" s="512">
        <v>150</v>
      </c>
      <c r="U269" s="512"/>
      <c r="V269" s="512"/>
      <c r="W269" s="512"/>
      <c r="X269" s="512"/>
      <c r="Y269" s="511"/>
    </row>
    <row r="270" spans="12:25" x14ac:dyDescent="0.2">
      <c r="L270" s="512"/>
      <c r="M270" s="512"/>
      <c r="N270" s="512"/>
      <c r="O270" s="512"/>
      <c r="P270" s="512"/>
      <c r="Q270" s="512"/>
      <c r="R270" s="512"/>
      <c r="S270" s="512">
        <v>268</v>
      </c>
      <c r="T270" s="512">
        <v>150</v>
      </c>
      <c r="U270" s="512"/>
      <c r="V270" s="512"/>
      <c r="W270" s="512"/>
      <c r="X270" s="512"/>
      <c r="Y270" s="511"/>
    </row>
    <row r="271" spans="12:25" x14ac:dyDescent="0.2">
      <c r="L271" s="512"/>
      <c r="M271" s="512"/>
      <c r="N271" s="512"/>
      <c r="O271" s="512"/>
      <c r="P271" s="512"/>
      <c r="Q271" s="512"/>
      <c r="R271" s="512"/>
      <c r="S271" s="512">
        <v>269</v>
      </c>
      <c r="T271" s="512">
        <v>150</v>
      </c>
      <c r="U271" s="512"/>
      <c r="V271" s="512"/>
      <c r="W271" s="512"/>
      <c r="X271" s="512"/>
      <c r="Y271" s="511"/>
    </row>
    <row r="272" spans="12:25" x14ac:dyDescent="0.2">
      <c r="L272" s="512"/>
      <c r="M272" s="512"/>
      <c r="N272" s="512"/>
      <c r="O272" s="512"/>
      <c r="P272" s="512"/>
      <c r="Q272" s="512"/>
      <c r="R272" s="512"/>
      <c r="S272" s="512">
        <v>270</v>
      </c>
      <c r="T272" s="512">
        <v>150</v>
      </c>
      <c r="U272" s="512"/>
      <c r="V272" s="512"/>
      <c r="W272" s="512"/>
      <c r="X272" s="512"/>
      <c r="Y272" s="511"/>
    </row>
    <row r="273" spans="12:25" x14ac:dyDescent="0.2">
      <c r="L273" s="512"/>
      <c r="M273" s="512"/>
      <c r="N273" s="512"/>
      <c r="O273" s="512"/>
      <c r="P273" s="512"/>
      <c r="Q273" s="512"/>
      <c r="R273" s="512"/>
      <c r="S273" s="512">
        <v>271</v>
      </c>
      <c r="T273" s="512">
        <v>150</v>
      </c>
      <c r="U273" s="512"/>
      <c r="V273" s="512"/>
      <c r="W273" s="512"/>
      <c r="X273" s="512"/>
      <c r="Y273" s="511"/>
    </row>
    <row r="274" spans="12:25" x14ac:dyDescent="0.2">
      <c r="L274" s="512"/>
      <c r="M274" s="512"/>
      <c r="N274" s="512"/>
      <c r="O274" s="512"/>
      <c r="P274" s="512"/>
      <c r="Q274" s="512"/>
      <c r="R274" s="512"/>
      <c r="S274" s="512">
        <v>272</v>
      </c>
      <c r="T274" s="512">
        <v>150</v>
      </c>
      <c r="U274" s="512"/>
      <c r="V274" s="512"/>
      <c r="W274" s="512"/>
      <c r="X274" s="512"/>
      <c r="Y274" s="511"/>
    </row>
    <row r="275" spans="12:25" x14ac:dyDescent="0.2">
      <c r="L275" s="512"/>
      <c r="M275" s="512"/>
      <c r="N275" s="512"/>
      <c r="O275" s="512"/>
      <c r="P275" s="512"/>
      <c r="Q275" s="512"/>
      <c r="R275" s="512"/>
      <c r="S275" s="512">
        <v>273</v>
      </c>
      <c r="T275" s="512">
        <v>150</v>
      </c>
      <c r="U275" s="512"/>
      <c r="V275" s="512"/>
      <c r="W275" s="512"/>
      <c r="X275" s="512"/>
      <c r="Y275" s="511"/>
    </row>
    <row r="276" spans="12:25" x14ac:dyDescent="0.2">
      <c r="L276" s="512"/>
      <c r="M276" s="512"/>
      <c r="N276" s="512"/>
      <c r="O276" s="512"/>
      <c r="P276" s="512"/>
      <c r="Q276" s="512"/>
      <c r="R276" s="512"/>
      <c r="S276" s="512">
        <v>274</v>
      </c>
      <c r="T276" s="512">
        <v>150</v>
      </c>
      <c r="U276" s="512"/>
      <c r="V276" s="512"/>
      <c r="W276" s="512"/>
      <c r="X276" s="512"/>
      <c r="Y276" s="511"/>
    </row>
    <row r="277" spans="12:25" x14ac:dyDescent="0.2">
      <c r="L277" s="512"/>
      <c r="M277" s="512"/>
      <c r="N277" s="512"/>
      <c r="O277" s="512"/>
      <c r="P277" s="512"/>
      <c r="Q277" s="512"/>
      <c r="R277" s="512"/>
      <c r="S277" s="512">
        <v>275</v>
      </c>
      <c r="T277" s="512">
        <v>150</v>
      </c>
      <c r="U277" s="512"/>
      <c r="V277" s="512"/>
      <c r="W277" s="512"/>
      <c r="X277" s="512"/>
      <c r="Y277" s="511"/>
    </row>
    <row r="278" spans="12:25" x14ac:dyDescent="0.2">
      <c r="L278" s="512"/>
      <c r="M278" s="512"/>
      <c r="N278" s="512"/>
      <c r="O278" s="512"/>
      <c r="P278" s="512"/>
      <c r="Q278" s="512"/>
      <c r="R278" s="512"/>
      <c r="S278" s="512">
        <v>276</v>
      </c>
      <c r="T278" s="512">
        <v>150</v>
      </c>
      <c r="U278" s="512"/>
      <c r="V278" s="512"/>
      <c r="W278" s="512"/>
      <c r="X278" s="512"/>
      <c r="Y278" s="511"/>
    </row>
    <row r="279" spans="12:25" x14ac:dyDescent="0.2">
      <c r="L279" s="512"/>
      <c r="M279" s="512"/>
      <c r="N279" s="512"/>
      <c r="O279" s="512"/>
      <c r="P279" s="512"/>
      <c r="Q279" s="512"/>
      <c r="R279" s="512"/>
      <c r="S279" s="512">
        <v>277</v>
      </c>
      <c r="T279" s="512">
        <v>150</v>
      </c>
      <c r="U279" s="512"/>
      <c r="V279" s="512"/>
      <c r="W279" s="512"/>
      <c r="X279" s="512"/>
      <c r="Y279" s="511"/>
    </row>
    <row r="280" spans="12:25" x14ac:dyDescent="0.2">
      <c r="L280" s="512"/>
      <c r="M280" s="512"/>
      <c r="N280" s="512"/>
      <c r="O280" s="512"/>
      <c r="P280" s="512"/>
      <c r="Q280" s="512"/>
      <c r="R280" s="512"/>
      <c r="S280" s="512">
        <v>278</v>
      </c>
      <c r="T280" s="512">
        <v>150</v>
      </c>
      <c r="U280" s="512"/>
      <c r="V280" s="512"/>
      <c r="W280" s="512"/>
      <c r="X280" s="512"/>
      <c r="Y280" s="511"/>
    </row>
    <row r="281" spans="12:25" x14ac:dyDescent="0.2">
      <c r="L281" s="512"/>
      <c r="M281" s="512"/>
      <c r="N281" s="512"/>
      <c r="O281" s="512"/>
      <c r="P281" s="512"/>
      <c r="Q281" s="512"/>
      <c r="R281" s="512"/>
      <c r="S281" s="512">
        <v>279</v>
      </c>
      <c r="T281" s="512">
        <v>150</v>
      </c>
      <c r="U281" s="512"/>
      <c r="V281" s="512"/>
      <c r="W281" s="512"/>
      <c r="X281" s="512"/>
      <c r="Y281" s="511"/>
    </row>
    <row r="282" spans="12:25" x14ac:dyDescent="0.2">
      <c r="L282" s="512"/>
      <c r="M282" s="512"/>
      <c r="N282" s="512"/>
      <c r="O282" s="512"/>
      <c r="P282" s="512"/>
      <c r="Q282" s="512"/>
      <c r="R282" s="512"/>
      <c r="S282" s="512">
        <v>280</v>
      </c>
      <c r="T282" s="512">
        <v>150</v>
      </c>
      <c r="U282" s="512"/>
      <c r="V282" s="512"/>
      <c r="W282" s="512"/>
      <c r="X282" s="512"/>
      <c r="Y282" s="511"/>
    </row>
    <row r="283" spans="12:25" x14ac:dyDescent="0.2">
      <c r="L283" s="512"/>
      <c r="M283" s="512"/>
      <c r="N283" s="512"/>
      <c r="O283" s="512"/>
      <c r="P283" s="512"/>
      <c r="Q283" s="512"/>
      <c r="R283" s="512"/>
      <c r="S283" s="512">
        <v>281</v>
      </c>
      <c r="T283" s="512">
        <v>150</v>
      </c>
      <c r="U283" s="512"/>
      <c r="V283" s="512"/>
      <c r="W283" s="512"/>
      <c r="X283" s="512"/>
      <c r="Y283" s="511"/>
    </row>
    <row r="284" spans="12:25" x14ac:dyDescent="0.2">
      <c r="L284" s="512"/>
      <c r="M284" s="512"/>
      <c r="N284" s="512"/>
      <c r="O284" s="512"/>
      <c r="P284" s="512"/>
      <c r="Q284" s="512"/>
      <c r="R284" s="512"/>
      <c r="S284" s="512">
        <v>282</v>
      </c>
      <c r="T284" s="512">
        <v>150</v>
      </c>
      <c r="U284" s="512"/>
      <c r="V284" s="512"/>
      <c r="W284" s="512"/>
      <c r="X284" s="512"/>
      <c r="Y284" s="511"/>
    </row>
    <row r="285" spans="12:25" x14ac:dyDescent="0.2">
      <c r="L285" s="512"/>
      <c r="M285" s="512"/>
      <c r="N285" s="512"/>
      <c r="O285" s="512"/>
      <c r="P285" s="512"/>
      <c r="Q285" s="512"/>
      <c r="R285" s="512"/>
      <c r="S285" s="512">
        <v>283</v>
      </c>
      <c r="T285" s="512">
        <v>150</v>
      </c>
      <c r="U285" s="512"/>
      <c r="V285" s="512"/>
      <c r="W285" s="512"/>
      <c r="X285" s="512"/>
      <c r="Y285" s="511"/>
    </row>
    <row r="286" spans="12:25" x14ac:dyDescent="0.2">
      <c r="L286" s="512"/>
      <c r="M286" s="512"/>
      <c r="N286" s="512"/>
      <c r="O286" s="512"/>
      <c r="P286" s="512"/>
      <c r="Q286" s="512"/>
      <c r="R286" s="512"/>
      <c r="S286" s="512">
        <v>284</v>
      </c>
      <c r="T286" s="512">
        <v>150</v>
      </c>
      <c r="U286" s="512"/>
      <c r="V286" s="512"/>
      <c r="W286" s="512"/>
      <c r="X286" s="512"/>
      <c r="Y286" s="511"/>
    </row>
    <row r="287" spans="12:25" x14ac:dyDescent="0.2">
      <c r="L287" s="512"/>
      <c r="M287" s="512"/>
      <c r="N287" s="512"/>
      <c r="O287" s="512"/>
      <c r="P287" s="512"/>
      <c r="Q287" s="512"/>
      <c r="R287" s="512"/>
      <c r="S287" s="512">
        <v>285</v>
      </c>
      <c r="T287" s="512">
        <v>150</v>
      </c>
      <c r="U287" s="512"/>
      <c r="V287" s="512"/>
      <c r="W287" s="512"/>
      <c r="X287" s="512"/>
      <c r="Y287" s="511"/>
    </row>
    <row r="288" spans="12:25" x14ac:dyDescent="0.2">
      <c r="L288" s="512"/>
      <c r="M288" s="512"/>
      <c r="N288" s="512"/>
      <c r="O288" s="512"/>
      <c r="P288" s="512"/>
      <c r="Q288" s="512"/>
      <c r="R288" s="512"/>
      <c r="S288" s="512">
        <v>286</v>
      </c>
      <c r="T288" s="512">
        <v>150</v>
      </c>
      <c r="U288" s="512"/>
      <c r="V288" s="512"/>
      <c r="W288" s="512"/>
      <c r="X288" s="512"/>
      <c r="Y288" s="511"/>
    </row>
    <row r="289" spans="12:25" x14ac:dyDescent="0.2">
      <c r="L289" s="512"/>
      <c r="M289" s="512"/>
      <c r="N289" s="512"/>
      <c r="O289" s="512"/>
      <c r="P289" s="512"/>
      <c r="Q289" s="512"/>
      <c r="R289" s="512"/>
      <c r="S289" s="512">
        <v>287</v>
      </c>
      <c r="T289" s="512">
        <v>150</v>
      </c>
      <c r="U289" s="512"/>
      <c r="V289" s="512"/>
      <c r="W289" s="512"/>
      <c r="X289" s="512"/>
      <c r="Y289" s="511"/>
    </row>
    <row r="290" spans="12:25" x14ac:dyDescent="0.2">
      <c r="L290" s="512"/>
      <c r="M290" s="512"/>
      <c r="N290" s="512"/>
      <c r="O290" s="512"/>
      <c r="P290" s="512"/>
      <c r="Q290" s="512"/>
      <c r="R290" s="512"/>
      <c r="S290" s="512">
        <v>288</v>
      </c>
      <c r="T290" s="512">
        <v>150</v>
      </c>
      <c r="U290" s="512"/>
      <c r="V290" s="512"/>
      <c r="W290" s="512"/>
      <c r="X290" s="512"/>
      <c r="Y290" s="511"/>
    </row>
    <row r="291" spans="12:25" x14ac:dyDescent="0.2">
      <c r="L291" s="512"/>
      <c r="M291" s="512"/>
      <c r="N291" s="512"/>
      <c r="O291" s="512"/>
      <c r="P291" s="512"/>
      <c r="Q291" s="512"/>
      <c r="R291" s="512"/>
      <c r="S291" s="512">
        <v>289</v>
      </c>
      <c r="T291" s="512">
        <v>150</v>
      </c>
      <c r="U291" s="512"/>
      <c r="V291" s="512"/>
      <c r="W291" s="512"/>
      <c r="X291" s="512"/>
      <c r="Y291" s="511"/>
    </row>
    <row r="292" spans="12:25" x14ac:dyDescent="0.2">
      <c r="L292" s="512"/>
      <c r="M292" s="512"/>
      <c r="N292" s="512"/>
      <c r="O292" s="512"/>
      <c r="P292" s="512"/>
      <c r="Q292" s="512"/>
      <c r="R292" s="512"/>
      <c r="S292" s="512">
        <v>290</v>
      </c>
      <c r="T292" s="512">
        <v>150</v>
      </c>
      <c r="U292" s="512"/>
      <c r="V292" s="512"/>
      <c r="W292" s="512"/>
      <c r="X292" s="512"/>
      <c r="Y292" s="511"/>
    </row>
    <row r="293" spans="12:25" x14ac:dyDescent="0.2">
      <c r="L293" s="512"/>
      <c r="M293" s="512"/>
      <c r="N293" s="512"/>
      <c r="O293" s="512"/>
      <c r="P293" s="512"/>
      <c r="Q293" s="512"/>
      <c r="R293" s="512"/>
      <c r="S293" s="512">
        <v>291</v>
      </c>
      <c r="T293" s="512">
        <v>150</v>
      </c>
      <c r="U293" s="512"/>
      <c r="V293" s="512"/>
      <c r="W293" s="512"/>
      <c r="X293" s="512"/>
      <c r="Y293" s="511"/>
    </row>
    <row r="294" spans="12:25" x14ac:dyDescent="0.2">
      <c r="L294" s="512"/>
      <c r="M294" s="512"/>
      <c r="N294" s="512"/>
      <c r="O294" s="512"/>
      <c r="P294" s="512"/>
      <c r="Q294" s="512"/>
      <c r="R294" s="512"/>
      <c r="S294" s="512">
        <v>292</v>
      </c>
      <c r="T294" s="512">
        <v>150</v>
      </c>
      <c r="U294" s="512"/>
      <c r="V294" s="512"/>
      <c r="W294" s="512"/>
      <c r="X294" s="512"/>
      <c r="Y294" s="511"/>
    </row>
    <row r="295" spans="12:25" x14ac:dyDescent="0.2">
      <c r="L295" s="512"/>
      <c r="M295" s="512"/>
      <c r="N295" s="512"/>
      <c r="O295" s="512"/>
      <c r="P295" s="512"/>
      <c r="Q295" s="512"/>
      <c r="R295" s="512"/>
      <c r="S295" s="512">
        <v>293</v>
      </c>
      <c r="T295" s="512">
        <v>150</v>
      </c>
      <c r="U295" s="512"/>
      <c r="V295" s="512"/>
      <c r="W295" s="512"/>
      <c r="X295" s="512"/>
      <c r="Y295" s="511"/>
    </row>
    <row r="296" spans="12:25" x14ac:dyDescent="0.2">
      <c r="L296" s="512"/>
      <c r="M296" s="512"/>
      <c r="N296" s="512"/>
      <c r="O296" s="512"/>
      <c r="P296" s="512"/>
      <c r="Q296" s="512"/>
      <c r="R296" s="512"/>
      <c r="S296" s="512">
        <v>294</v>
      </c>
      <c r="T296" s="512">
        <v>150</v>
      </c>
      <c r="U296" s="512"/>
      <c r="V296" s="512"/>
      <c r="W296" s="512"/>
      <c r="X296" s="512"/>
      <c r="Y296" s="511"/>
    </row>
    <row r="297" spans="12:25" x14ac:dyDescent="0.2">
      <c r="L297" s="512"/>
      <c r="M297" s="512"/>
      <c r="N297" s="512"/>
      <c r="O297" s="512"/>
      <c r="P297" s="512"/>
      <c r="Q297" s="512"/>
      <c r="R297" s="512"/>
      <c r="S297" s="512">
        <v>295</v>
      </c>
      <c r="T297" s="512">
        <v>150</v>
      </c>
      <c r="U297" s="512"/>
      <c r="V297" s="512"/>
      <c r="W297" s="512"/>
      <c r="X297" s="512"/>
      <c r="Y297" s="511"/>
    </row>
    <row r="298" spans="12:25" x14ac:dyDescent="0.2">
      <c r="L298" s="512"/>
      <c r="M298" s="512"/>
      <c r="N298" s="512"/>
      <c r="O298" s="512"/>
      <c r="P298" s="512"/>
      <c r="Q298" s="512"/>
      <c r="R298" s="512"/>
      <c r="S298" s="512">
        <v>296</v>
      </c>
      <c r="T298" s="512">
        <v>150</v>
      </c>
      <c r="U298" s="512"/>
      <c r="V298" s="512"/>
      <c r="W298" s="512"/>
      <c r="X298" s="512"/>
      <c r="Y298" s="511"/>
    </row>
    <row r="299" spans="12:25" x14ac:dyDescent="0.2">
      <c r="L299" s="512"/>
      <c r="M299" s="512"/>
      <c r="N299" s="512"/>
      <c r="O299" s="512"/>
      <c r="P299" s="512"/>
      <c r="Q299" s="512"/>
      <c r="R299" s="512"/>
      <c r="S299" s="512">
        <v>297</v>
      </c>
      <c r="T299" s="512">
        <v>150</v>
      </c>
      <c r="U299" s="512"/>
      <c r="V299" s="512"/>
      <c r="W299" s="512"/>
      <c r="X299" s="512"/>
      <c r="Y299" s="511"/>
    </row>
    <row r="300" spans="12:25" x14ac:dyDescent="0.2">
      <c r="L300" s="512"/>
      <c r="M300" s="512"/>
      <c r="N300" s="512"/>
      <c r="O300" s="512"/>
      <c r="P300" s="512"/>
      <c r="Q300" s="512"/>
      <c r="R300" s="512"/>
      <c r="S300" s="512">
        <v>298</v>
      </c>
      <c r="T300" s="512">
        <v>150</v>
      </c>
      <c r="U300" s="512"/>
      <c r="V300" s="512"/>
      <c r="W300" s="512"/>
      <c r="X300" s="512"/>
      <c r="Y300" s="511"/>
    </row>
    <row r="301" spans="12:25" x14ac:dyDescent="0.2">
      <c r="L301" s="512"/>
      <c r="M301" s="512"/>
      <c r="N301" s="512"/>
      <c r="O301" s="512"/>
      <c r="P301" s="512"/>
      <c r="Q301" s="512"/>
      <c r="R301" s="512"/>
      <c r="S301" s="512">
        <v>299</v>
      </c>
      <c r="T301" s="512">
        <v>150</v>
      </c>
      <c r="U301" s="512"/>
      <c r="V301" s="512"/>
      <c r="W301" s="512"/>
      <c r="X301" s="512"/>
      <c r="Y301" s="511"/>
    </row>
    <row r="302" spans="12:25" x14ac:dyDescent="0.2">
      <c r="L302" s="512"/>
      <c r="M302" s="512"/>
      <c r="N302" s="512"/>
      <c r="O302" s="512"/>
      <c r="P302" s="512"/>
      <c r="Q302" s="512"/>
      <c r="R302" s="512"/>
      <c r="S302" s="512">
        <v>300</v>
      </c>
      <c r="T302" s="512">
        <v>150</v>
      </c>
      <c r="U302" s="512">
        <v>300</v>
      </c>
      <c r="V302" s="512"/>
      <c r="W302" s="512"/>
      <c r="X302" s="512"/>
      <c r="Y302" s="511"/>
    </row>
    <row r="303" spans="12:25" x14ac:dyDescent="0.2">
      <c r="L303" s="512"/>
      <c r="M303" s="512"/>
      <c r="N303" s="512"/>
      <c r="O303" s="512"/>
      <c r="P303" s="512"/>
      <c r="Q303" s="512"/>
      <c r="R303" s="512"/>
      <c r="S303" s="512">
        <v>301</v>
      </c>
      <c r="T303" s="512">
        <v>150</v>
      </c>
      <c r="U303" s="512"/>
      <c r="V303" s="512"/>
      <c r="W303" s="512"/>
      <c r="X303" s="512"/>
      <c r="Y303" s="511"/>
    </row>
    <row r="304" spans="12:25" x14ac:dyDescent="0.2">
      <c r="L304" s="512"/>
      <c r="M304" s="512"/>
      <c r="N304" s="512"/>
      <c r="O304" s="512"/>
      <c r="P304" s="512"/>
      <c r="Q304" s="512"/>
      <c r="R304" s="512"/>
      <c r="S304" s="512">
        <v>302</v>
      </c>
      <c r="T304" s="512">
        <v>150</v>
      </c>
      <c r="U304" s="512"/>
      <c r="V304" s="512"/>
      <c r="W304" s="512"/>
      <c r="X304" s="512"/>
      <c r="Y304" s="511"/>
    </row>
    <row r="305" spans="12:25" x14ac:dyDescent="0.2">
      <c r="L305" s="512"/>
      <c r="M305" s="512"/>
      <c r="N305" s="512"/>
      <c r="O305" s="512"/>
      <c r="P305" s="512"/>
      <c r="Q305" s="512"/>
      <c r="R305" s="512"/>
      <c r="S305" s="512">
        <v>303</v>
      </c>
      <c r="T305" s="512">
        <v>150</v>
      </c>
      <c r="U305" s="512"/>
      <c r="V305" s="512"/>
      <c r="W305" s="512"/>
      <c r="X305" s="512"/>
      <c r="Y305" s="511"/>
    </row>
    <row r="306" spans="12:25" x14ac:dyDescent="0.2">
      <c r="L306" s="512"/>
      <c r="M306" s="512"/>
      <c r="N306" s="512"/>
      <c r="O306" s="512"/>
      <c r="P306" s="512"/>
      <c r="Q306" s="512"/>
      <c r="R306" s="512"/>
      <c r="S306" s="512">
        <v>304</v>
      </c>
      <c r="T306" s="512">
        <v>150</v>
      </c>
      <c r="U306" s="512"/>
      <c r="V306" s="512"/>
      <c r="W306" s="512"/>
      <c r="X306" s="512"/>
      <c r="Y306" s="511"/>
    </row>
    <row r="307" spans="12:25" x14ac:dyDescent="0.2">
      <c r="L307" s="512"/>
      <c r="M307" s="512"/>
      <c r="N307" s="512"/>
      <c r="O307" s="512"/>
      <c r="P307" s="512"/>
      <c r="Q307" s="512"/>
      <c r="R307" s="512"/>
      <c r="S307" s="512">
        <v>305</v>
      </c>
      <c r="T307" s="512">
        <v>150</v>
      </c>
      <c r="U307" s="512"/>
      <c r="V307" s="512"/>
      <c r="W307" s="512"/>
      <c r="X307" s="512"/>
      <c r="Y307" s="511"/>
    </row>
    <row r="308" spans="12:25" x14ac:dyDescent="0.2">
      <c r="L308" s="512"/>
      <c r="M308" s="512"/>
      <c r="N308" s="512"/>
      <c r="O308" s="512"/>
      <c r="P308" s="512"/>
      <c r="Q308" s="512"/>
      <c r="R308" s="512"/>
      <c r="S308" s="512">
        <v>306</v>
      </c>
      <c r="T308" s="512">
        <v>150</v>
      </c>
      <c r="U308" s="512"/>
      <c r="V308" s="512"/>
      <c r="W308" s="512"/>
      <c r="X308" s="512"/>
      <c r="Y308" s="511"/>
    </row>
    <row r="309" spans="12:25" x14ac:dyDescent="0.2">
      <c r="L309" s="512"/>
      <c r="M309" s="512"/>
      <c r="N309" s="512"/>
      <c r="O309" s="512"/>
      <c r="P309" s="512"/>
      <c r="Q309" s="512"/>
      <c r="R309" s="512"/>
      <c r="S309" s="512">
        <v>307</v>
      </c>
      <c r="T309" s="512">
        <v>150</v>
      </c>
      <c r="U309" s="512"/>
      <c r="V309" s="512"/>
      <c r="W309" s="512"/>
      <c r="X309" s="512"/>
      <c r="Y309" s="511"/>
    </row>
    <row r="310" spans="12:25" x14ac:dyDescent="0.2">
      <c r="L310" s="512"/>
      <c r="M310" s="512"/>
      <c r="N310" s="512"/>
      <c r="O310" s="512"/>
      <c r="P310" s="512"/>
      <c r="Q310" s="512"/>
      <c r="R310" s="512"/>
      <c r="S310" s="512">
        <v>308</v>
      </c>
      <c r="T310" s="512">
        <v>150</v>
      </c>
      <c r="U310" s="512"/>
      <c r="V310" s="512"/>
      <c r="W310" s="512"/>
      <c r="X310" s="512"/>
      <c r="Y310" s="511"/>
    </row>
    <row r="311" spans="12:25" x14ac:dyDescent="0.2">
      <c r="L311" s="512"/>
      <c r="M311" s="512"/>
      <c r="N311" s="512"/>
      <c r="O311" s="512"/>
      <c r="P311" s="512"/>
      <c r="Q311" s="512"/>
      <c r="R311" s="512"/>
      <c r="S311" s="512">
        <v>309</v>
      </c>
      <c r="T311" s="512">
        <v>150</v>
      </c>
      <c r="U311" s="512"/>
      <c r="V311" s="512"/>
      <c r="W311" s="512"/>
      <c r="X311" s="512"/>
      <c r="Y311" s="511"/>
    </row>
    <row r="312" spans="12:25" x14ac:dyDescent="0.2">
      <c r="L312" s="512"/>
      <c r="M312" s="512"/>
      <c r="N312" s="512"/>
      <c r="O312" s="512"/>
      <c r="P312" s="512"/>
      <c r="Q312" s="512"/>
      <c r="R312" s="512"/>
      <c r="S312" s="512">
        <v>310</v>
      </c>
      <c r="T312" s="512">
        <v>150</v>
      </c>
      <c r="U312" s="512"/>
      <c r="V312" s="512"/>
      <c r="W312" s="512"/>
      <c r="X312" s="512"/>
      <c r="Y312" s="511"/>
    </row>
    <row r="313" spans="12:25" x14ac:dyDescent="0.2">
      <c r="L313" s="512"/>
      <c r="M313" s="512"/>
      <c r="N313" s="512"/>
      <c r="O313" s="512"/>
      <c r="P313" s="512"/>
      <c r="Q313" s="512"/>
      <c r="R313" s="512"/>
      <c r="S313" s="512">
        <v>311</v>
      </c>
      <c r="T313" s="512">
        <v>150</v>
      </c>
      <c r="U313" s="512"/>
      <c r="V313" s="512"/>
      <c r="W313" s="512"/>
      <c r="X313" s="512"/>
      <c r="Y313" s="511"/>
    </row>
    <row r="314" spans="12:25" x14ac:dyDescent="0.2">
      <c r="L314" s="512"/>
      <c r="M314" s="512"/>
      <c r="N314" s="512"/>
      <c r="O314" s="512"/>
      <c r="P314" s="512"/>
      <c r="Q314" s="512"/>
      <c r="R314" s="512"/>
      <c r="S314" s="512">
        <v>312</v>
      </c>
      <c r="T314" s="512">
        <v>150</v>
      </c>
      <c r="U314" s="512"/>
      <c r="V314" s="512"/>
      <c r="W314" s="512"/>
      <c r="X314" s="512"/>
      <c r="Y314" s="511"/>
    </row>
    <row r="315" spans="12:25" x14ac:dyDescent="0.2">
      <c r="L315" s="512"/>
      <c r="M315" s="512"/>
      <c r="N315" s="512"/>
      <c r="O315" s="512"/>
      <c r="P315" s="512"/>
      <c r="Q315" s="512"/>
      <c r="R315" s="512"/>
      <c r="S315" s="512">
        <v>313</v>
      </c>
      <c r="T315" s="512">
        <v>150</v>
      </c>
      <c r="U315" s="512"/>
      <c r="V315" s="512"/>
      <c r="W315" s="512"/>
      <c r="X315" s="512"/>
      <c r="Y315" s="511"/>
    </row>
    <row r="316" spans="12:25" x14ac:dyDescent="0.2">
      <c r="L316" s="512"/>
      <c r="M316" s="512"/>
      <c r="N316" s="512"/>
      <c r="O316" s="512"/>
      <c r="P316" s="512"/>
      <c r="Q316" s="512"/>
      <c r="R316" s="512"/>
      <c r="S316" s="512">
        <v>314</v>
      </c>
      <c r="T316" s="512">
        <v>150</v>
      </c>
      <c r="U316" s="512"/>
      <c r="V316" s="512"/>
      <c r="W316" s="512"/>
      <c r="X316" s="512"/>
      <c r="Y316" s="511"/>
    </row>
    <row r="317" spans="12:25" x14ac:dyDescent="0.2">
      <c r="L317" s="512"/>
      <c r="M317" s="512"/>
      <c r="N317" s="512"/>
      <c r="O317" s="512"/>
      <c r="P317" s="512"/>
      <c r="Q317" s="512"/>
      <c r="R317" s="512"/>
      <c r="S317" s="512">
        <v>315</v>
      </c>
      <c r="T317" s="512">
        <v>150</v>
      </c>
      <c r="U317" s="512"/>
      <c r="V317" s="512"/>
      <c r="W317" s="512"/>
      <c r="X317" s="512"/>
      <c r="Y317" s="511"/>
    </row>
    <row r="318" spans="12:25" x14ac:dyDescent="0.2">
      <c r="L318" s="512"/>
      <c r="M318" s="512"/>
      <c r="N318" s="512"/>
      <c r="O318" s="512"/>
      <c r="P318" s="512"/>
      <c r="Q318" s="512"/>
      <c r="R318" s="512"/>
      <c r="S318" s="512">
        <v>316</v>
      </c>
      <c r="T318" s="512">
        <v>150</v>
      </c>
      <c r="U318" s="512"/>
      <c r="V318" s="512"/>
      <c r="W318" s="512"/>
      <c r="X318" s="512"/>
      <c r="Y318" s="511"/>
    </row>
    <row r="319" spans="12:25" x14ac:dyDescent="0.2">
      <c r="L319" s="512"/>
      <c r="M319" s="512"/>
      <c r="N319" s="512"/>
      <c r="O319" s="512"/>
      <c r="P319" s="512"/>
      <c r="Q319" s="512"/>
      <c r="R319" s="512"/>
      <c r="S319" s="512">
        <v>317</v>
      </c>
      <c r="T319" s="512">
        <v>150</v>
      </c>
      <c r="U319" s="512"/>
      <c r="V319" s="512"/>
      <c r="W319" s="512"/>
      <c r="X319" s="512"/>
      <c r="Y319" s="511"/>
    </row>
    <row r="320" spans="12:25" x14ac:dyDescent="0.2">
      <c r="L320" s="512"/>
      <c r="M320" s="512"/>
      <c r="N320" s="512"/>
      <c r="O320" s="512"/>
      <c r="P320" s="512"/>
      <c r="Q320" s="512"/>
      <c r="R320" s="512"/>
      <c r="S320" s="512">
        <v>318</v>
      </c>
      <c r="T320" s="512">
        <v>150</v>
      </c>
      <c r="U320" s="512"/>
      <c r="V320" s="512"/>
      <c r="W320" s="512"/>
      <c r="X320" s="512"/>
      <c r="Y320" s="511"/>
    </row>
    <row r="321" spans="12:25" x14ac:dyDescent="0.2">
      <c r="L321" s="512"/>
      <c r="M321" s="512"/>
      <c r="N321" s="512"/>
      <c r="O321" s="512"/>
      <c r="P321" s="512"/>
      <c r="Q321" s="512"/>
      <c r="R321" s="512"/>
      <c r="S321" s="512">
        <v>319</v>
      </c>
      <c r="T321" s="512">
        <v>150</v>
      </c>
      <c r="U321" s="512"/>
      <c r="V321" s="512"/>
      <c r="W321" s="512"/>
      <c r="X321" s="512"/>
      <c r="Y321" s="511"/>
    </row>
    <row r="322" spans="12:25" x14ac:dyDescent="0.2">
      <c r="L322" s="512"/>
      <c r="M322" s="512"/>
      <c r="N322" s="512"/>
      <c r="O322" s="512"/>
      <c r="P322" s="512"/>
      <c r="Q322" s="512"/>
      <c r="R322" s="512"/>
      <c r="S322" s="512">
        <v>320</v>
      </c>
      <c r="T322" s="512">
        <v>150</v>
      </c>
      <c r="U322" s="512"/>
      <c r="V322" s="512"/>
      <c r="W322" s="512"/>
      <c r="X322" s="512"/>
      <c r="Y322" s="511"/>
    </row>
    <row r="323" spans="12:25" x14ac:dyDescent="0.2">
      <c r="L323" s="512"/>
      <c r="M323" s="512"/>
      <c r="N323" s="512"/>
      <c r="O323" s="512"/>
      <c r="P323" s="512"/>
      <c r="Q323" s="512"/>
      <c r="R323" s="512"/>
      <c r="S323" s="512">
        <v>321</v>
      </c>
      <c r="T323" s="512">
        <v>150</v>
      </c>
      <c r="U323" s="512"/>
      <c r="V323" s="512"/>
      <c r="W323" s="512"/>
      <c r="X323" s="512"/>
      <c r="Y323" s="511"/>
    </row>
    <row r="324" spans="12:25" x14ac:dyDescent="0.2">
      <c r="L324" s="512"/>
      <c r="M324" s="512"/>
      <c r="N324" s="512"/>
      <c r="O324" s="512"/>
      <c r="P324" s="512"/>
      <c r="Q324" s="512"/>
      <c r="R324" s="512"/>
      <c r="S324" s="512">
        <v>322</v>
      </c>
      <c r="T324" s="512">
        <v>150</v>
      </c>
      <c r="U324" s="512"/>
      <c r="V324" s="512"/>
      <c r="W324" s="512"/>
      <c r="X324" s="512"/>
      <c r="Y324" s="511"/>
    </row>
    <row r="325" spans="12:25" x14ac:dyDescent="0.2">
      <c r="L325" s="512"/>
      <c r="M325" s="512"/>
      <c r="N325" s="512"/>
      <c r="O325" s="512"/>
      <c r="P325" s="512"/>
      <c r="Q325" s="512"/>
      <c r="R325" s="512"/>
      <c r="S325" s="512">
        <v>323</v>
      </c>
      <c r="T325" s="512">
        <v>150</v>
      </c>
      <c r="U325" s="512"/>
      <c r="V325" s="512"/>
      <c r="W325" s="512"/>
      <c r="X325" s="512"/>
      <c r="Y325" s="511"/>
    </row>
    <row r="326" spans="12:25" x14ac:dyDescent="0.2">
      <c r="L326" s="512"/>
      <c r="M326" s="512"/>
      <c r="N326" s="512"/>
      <c r="O326" s="512"/>
      <c r="P326" s="512"/>
      <c r="Q326" s="512"/>
      <c r="R326" s="512"/>
      <c r="S326" s="512">
        <v>324</v>
      </c>
      <c r="T326" s="512">
        <v>150</v>
      </c>
      <c r="U326" s="512"/>
      <c r="V326" s="512"/>
      <c r="W326" s="512"/>
      <c r="X326" s="512"/>
      <c r="Y326" s="511"/>
    </row>
    <row r="327" spans="12:25" x14ac:dyDescent="0.2">
      <c r="L327" s="512"/>
      <c r="M327" s="512"/>
      <c r="N327" s="512"/>
      <c r="O327" s="512"/>
      <c r="P327" s="512"/>
      <c r="Q327" s="512"/>
      <c r="R327" s="512"/>
      <c r="S327" s="512">
        <v>325</v>
      </c>
      <c r="T327" s="512">
        <v>150</v>
      </c>
      <c r="U327" s="512"/>
      <c r="V327" s="512"/>
      <c r="W327" s="512"/>
      <c r="X327" s="512"/>
      <c r="Y327" s="511"/>
    </row>
    <row r="328" spans="12:25" x14ac:dyDescent="0.2">
      <c r="L328" s="512"/>
      <c r="M328" s="512"/>
      <c r="N328" s="512"/>
      <c r="O328" s="512"/>
      <c r="P328" s="512"/>
      <c r="Q328" s="512"/>
      <c r="R328" s="512"/>
      <c r="S328" s="512">
        <v>326</v>
      </c>
      <c r="T328" s="512">
        <v>150</v>
      </c>
      <c r="U328" s="512"/>
      <c r="V328" s="512"/>
      <c r="W328" s="512"/>
      <c r="X328" s="512"/>
      <c r="Y328" s="511"/>
    </row>
    <row r="329" spans="12:25" x14ac:dyDescent="0.2">
      <c r="L329" s="512"/>
      <c r="M329" s="512"/>
      <c r="N329" s="512"/>
      <c r="O329" s="512"/>
      <c r="P329" s="512"/>
      <c r="Q329" s="512"/>
      <c r="R329" s="512"/>
      <c r="S329" s="512">
        <v>327</v>
      </c>
      <c r="T329" s="512">
        <v>150</v>
      </c>
      <c r="U329" s="512"/>
      <c r="V329" s="512"/>
      <c r="W329" s="512"/>
      <c r="X329" s="512"/>
      <c r="Y329" s="511"/>
    </row>
    <row r="330" spans="12:25" x14ac:dyDescent="0.2">
      <c r="L330" s="512"/>
      <c r="M330" s="512"/>
      <c r="N330" s="512"/>
      <c r="O330" s="512"/>
      <c r="P330" s="512"/>
      <c r="Q330" s="512"/>
      <c r="R330" s="512"/>
      <c r="S330" s="512">
        <v>328</v>
      </c>
      <c r="T330" s="512">
        <v>150</v>
      </c>
      <c r="U330" s="512"/>
      <c r="V330" s="512"/>
      <c r="W330" s="512"/>
      <c r="X330" s="512"/>
      <c r="Y330" s="511"/>
    </row>
    <row r="331" spans="12:25" x14ac:dyDescent="0.2">
      <c r="L331" s="512"/>
      <c r="M331" s="512"/>
      <c r="N331" s="512"/>
      <c r="O331" s="512"/>
      <c r="P331" s="512"/>
      <c r="Q331" s="512"/>
      <c r="R331" s="512"/>
      <c r="S331" s="512">
        <v>329</v>
      </c>
      <c r="T331" s="512">
        <v>150</v>
      </c>
      <c r="U331" s="512"/>
      <c r="V331" s="512"/>
      <c r="W331" s="512"/>
      <c r="X331" s="512"/>
      <c r="Y331" s="511"/>
    </row>
    <row r="332" spans="12:25" x14ac:dyDescent="0.2">
      <c r="L332" s="512"/>
      <c r="M332" s="512"/>
      <c r="N332" s="512"/>
      <c r="O332" s="512"/>
      <c r="P332" s="512"/>
      <c r="Q332" s="512"/>
      <c r="R332" s="512"/>
      <c r="S332" s="512">
        <v>330</v>
      </c>
      <c r="T332" s="512">
        <v>150</v>
      </c>
      <c r="U332" s="512"/>
      <c r="V332" s="512"/>
      <c r="W332" s="512"/>
      <c r="X332" s="512"/>
      <c r="Y332" s="511"/>
    </row>
    <row r="333" spans="12:25" x14ac:dyDescent="0.2">
      <c r="L333" s="512"/>
      <c r="M333" s="512"/>
      <c r="N333" s="512"/>
      <c r="O333" s="512"/>
      <c r="P333" s="512"/>
      <c r="Q333" s="512"/>
      <c r="R333" s="512"/>
      <c r="S333" s="512">
        <v>331</v>
      </c>
      <c r="T333" s="512">
        <v>150</v>
      </c>
      <c r="U333" s="512"/>
      <c r="V333" s="512"/>
      <c r="W333" s="512"/>
      <c r="X333" s="512"/>
      <c r="Y333" s="511"/>
    </row>
    <row r="334" spans="12:25" x14ac:dyDescent="0.2">
      <c r="L334" s="512"/>
      <c r="M334" s="512"/>
      <c r="N334" s="512"/>
      <c r="O334" s="512"/>
      <c r="P334" s="512"/>
      <c r="Q334" s="512"/>
      <c r="R334" s="512"/>
      <c r="S334" s="512">
        <v>332</v>
      </c>
      <c r="T334" s="512">
        <v>150</v>
      </c>
      <c r="U334" s="512"/>
      <c r="V334" s="512"/>
      <c r="W334" s="512"/>
      <c r="X334" s="512"/>
      <c r="Y334" s="511"/>
    </row>
    <row r="335" spans="12:25" x14ac:dyDescent="0.2">
      <c r="L335" s="512"/>
      <c r="M335" s="512"/>
      <c r="N335" s="512"/>
      <c r="O335" s="512"/>
      <c r="P335" s="512"/>
      <c r="Q335" s="512"/>
      <c r="R335" s="512"/>
      <c r="S335" s="512">
        <v>333</v>
      </c>
      <c r="T335" s="512">
        <v>150</v>
      </c>
      <c r="U335" s="512"/>
      <c r="V335" s="512"/>
      <c r="W335" s="512"/>
      <c r="X335" s="512"/>
      <c r="Y335" s="511"/>
    </row>
    <row r="336" spans="12:25" x14ac:dyDescent="0.2">
      <c r="L336" s="512"/>
      <c r="M336" s="512"/>
      <c r="N336" s="512"/>
      <c r="O336" s="512"/>
      <c r="P336" s="512"/>
      <c r="Q336" s="512"/>
      <c r="R336" s="512"/>
      <c r="S336" s="512">
        <v>334</v>
      </c>
      <c r="T336" s="512">
        <v>150</v>
      </c>
      <c r="U336" s="512"/>
      <c r="V336" s="512"/>
      <c r="W336" s="512"/>
      <c r="X336" s="512"/>
      <c r="Y336" s="511"/>
    </row>
    <row r="337" spans="12:25" x14ac:dyDescent="0.2">
      <c r="L337" s="512"/>
      <c r="M337" s="512"/>
      <c r="N337" s="512"/>
      <c r="O337" s="512"/>
      <c r="P337" s="512"/>
      <c r="Q337" s="512"/>
      <c r="R337" s="512"/>
      <c r="S337" s="512">
        <v>335</v>
      </c>
      <c r="T337" s="512">
        <v>150</v>
      </c>
      <c r="U337" s="512"/>
      <c r="V337" s="512"/>
      <c r="W337" s="512"/>
      <c r="X337" s="512"/>
      <c r="Y337" s="511"/>
    </row>
    <row r="338" spans="12:25" x14ac:dyDescent="0.2">
      <c r="L338" s="512"/>
      <c r="M338" s="512"/>
      <c r="N338" s="512"/>
      <c r="O338" s="512"/>
      <c r="P338" s="512"/>
      <c r="Q338" s="512"/>
      <c r="R338" s="512"/>
      <c r="S338" s="512">
        <v>336</v>
      </c>
      <c r="T338" s="512">
        <v>150</v>
      </c>
      <c r="U338" s="512"/>
      <c r="V338" s="512"/>
      <c r="W338" s="512"/>
      <c r="X338" s="512"/>
      <c r="Y338" s="511"/>
    </row>
    <row r="339" spans="12:25" x14ac:dyDescent="0.2">
      <c r="L339" s="512"/>
      <c r="M339" s="512"/>
      <c r="N339" s="512"/>
      <c r="O339" s="512"/>
      <c r="P339" s="512"/>
      <c r="Q339" s="512"/>
      <c r="R339" s="512"/>
      <c r="S339" s="512">
        <v>337</v>
      </c>
      <c r="T339" s="512">
        <v>150</v>
      </c>
      <c r="U339" s="512"/>
      <c r="V339" s="512"/>
      <c r="W339" s="512"/>
      <c r="X339" s="512"/>
      <c r="Y339" s="511"/>
    </row>
    <row r="340" spans="12:25" x14ac:dyDescent="0.2">
      <c r="L340" s="512"/>
      <c r="M340" s="512"/>
      <c r="N340" s="512"/>
      <c r="O340" s="512"/>
      <c r="P340" s="512"/>
      <c r="Q340" s="512"/>
      <c r="R340" s="512"/>
      <c r="S340" s="512">
        <v>338</v>
      </c>
      <c r="T340" s="512">
        <v>150</v>
      </c>
      <c r="U340" s="512"/>
      <c r="V340" s="512"/>
      <c r="W340" s="512"/>
      <c r="X340" s="512"/>
      <c r="Y340" s="511"/>
    </row>
    <row r="341" spans="12:25" x14ac:dyDescent="0.2">
      <c r="L341" s="512"/>
      <c r="M341" s="512"/>
      <c r="N341" s="512"/>
      <c r="O341" s="512"/>
      <c r="P341" s="512"/>
      <c r="Q341" s="512"/>
      <c r="R341" s="512"/>
      <c r="S341" s="512">
        <v>339</v>
      </c>
      <c r="T341" s="512">
        <v>150</v>
      </c>
      <c r="U341" s="512"/>
      <c r="V341" s="512"/>
      <c r="W341" s="512"/>
      <c r="X341" s="512"/>
      <c r="Y341" s="511"/>
    </row>
    <row r="342" spans="12:25" x14ac:dyDescent="0.2">
      <c r="L342" s="512"/>
      <c r="M342" s="512"/>
      <c r="N342" s="512"/>
      <c r="O342" s="512"/>
      <c r="P342" s="512"/>
      <c r="Q342" s="512"/>
      <c r="R342" s="512"/>
      <c r="S342" s="512">
        <v>340</v>
      </c>
      <c r="T342" s="512">
        <v>150</v>
      </c>
      <c r="U342" s="512"/>
      <c r="V342" s="512"/>
      <c r="W342" s="512"/>
      <c r="X342" s="512"/>
      <c r="Y342" s="511"/>
    </row>
    <row r="343" spans="12:25" x14ac:dyDescent="0.2">
      <c r="L343" s="512"/>
      <c r="M343" s="512"/>
      <c r="N343" s="512"/>
      <c r="O343" s="512"/>
      <c r="P343" s="512"/>
      <c r="Q343" s="512"/>
      <c r="R343" s="512"/>
      <c r="S343" s="512">
        <v>341</v>
      </c>
      <c r="T343" s="512">
        <v>150</v>
      </c>
      <c r="U343" s="512"/>
      <c r="V343" s="512"/>
      <c r="W343" s="512"/>
      <c r="X343" s="512"/>
      <c r="Y343" s="511"/>
    </row>
    <row r="344" spans="12:25" x14ac:dyDescent="0.2">
      <c r="L344" s="512"/>
      <c r="M344" s="512"/>
      <c r="N344" s="512"/>
      <c r="O344" s="512"/>
      <c r="P344" s="512"/>
      <c r="Q344" s="512"/>
      <c r="R344" s="512"/>
      <c r="S344" s="512">
        <v>342</v>
      </c>
      <c r="T344" s="512">
        <v>150</v>
      </c>
      <c r="U344" s="512"/>
      <c r="V344" s="512"/>
      <c r="W344" s="512"/>
      <c r="X344" s="512"/>
      <c r="Y344" s="511"/>
    </row>
    <row r="345" spans="12:25" x14ac:dyDescent="0.2">
      <c r="L345" s="512"/>
      <c r="M345" s="512"/>
      <c r="N345" s="512"/>
      <c r="O345" s="512"/>
      <c r="P345" s="512"/>
      <c r="Q345" s="512"/>
      <c r="R345" s="512"/>
      <c r="S345" s="512">
        <v>343</v>
      </c>
      <c r="T345" s="512">
        <v>150</v>
      </c>
      <c r="U345" s="512"/>
      <c r="V345" s="512"/>
      <c r="W345" s="512"/>
      <c r="X345" s="512"/>
      <c r="Y345" s="511"/>
    </row>
    <row r="346" spans="12:25" x14ac:dyDescent="0.2">
      <c r="L346" s="512"/>
      <c r="M346" s="512"/>
      <c r="N346" s="512"/>
      <c r="O346" s="512"/>
      <c r="P346" s="512"/>
      <c r="Q346" s="512"/>
      <c r="R346" s="512"/>
      <c r="S346" s="512">
        <v>344</v>
      </c>
      <c r="T346" s="512">
        <v>150</v>
      </c>
      <c r="U346" s="512"/>
      <c r="V346" s="512"/>
      <c r="W346" s="512"/>
      <c r="X346" s="512"/>
      <c r="Y346" s="511"/>
    </row>
    <row r="347" spans="12:25" x14ac:dyDescent="0.2">
      <c r="L347" s="512"/>
      <c r="M347" s="512"/>
      <c r="N347" s="512"/>
      <c r="O347" s="512"/>
      <c r="P347" s="512"/>
      <c r="Q347" s="512"/>
      <c r="R347" s="512"/>
      <c r="S347" s="512">
        <v>345</v>
      </c>
      <c r="T347" s="512">
        <v>150</v>
      </c>
      <c r="U347" s="512"/>
      <c r="V347" s="512"/>
      <c r="W347" s="512"/>
      <c r="X347" s="512"/>
      <c r="Y347" s="511"/>
    </row>
    <row r="348" spans="12:25" x14ac:dyDescent="0.2">
      <c r="L348" s="512"/>
      <c r="M348" s="512"/>
      <c r="N348" s="512"/>
      <c r="O348" s="512"/>
      <c r="P348" s="512"/>
      <c r="Q348" s="512"/>
      <c r="R348" s="512"/>
      <c r="S348" s="512">
        <v>346</v>
      </c>
      <c r="T348" s="512">
        <v>150</v>
      </c>
      <c r="U348" s="512"/>
      <c r="V348" s="512"/>
      <c r="W348" s="512"/>
      <c r="X348" s="512"/>
      <c r="Y348" s="511"/>
    </row>
    <row r="349" spans="12:25" x14ac:dyDescent="0.2">
      <c r="L349" s="512"/>
      <c r="M349" s="512"/>
      <c r="N349" s="512"/>
      <c r="O349" s="512"/>
      <c r="P349" s="512"/>
      <c r="Q349" s="512"/>
      <c r="R349" s="512"/>
      <c r="S349" s="512">
        <v>347</v>
      </c>
      <c r="T349" s="512">
        <v>150</v>
      </c>
      <c r="U349" s="512"/>
      <c r="V349" s="512"/>
      <c r="W349" s="512"/>
      <c r="X349" s="512"/>
      <c r="Y349" s="511"/>
    </row>
    <row r="350" spans="12:25" x14ac:dyDescent="0.2">
      <c r="L350" s="512"/>
      <c r="M350" s="512"/>
      <c r="N350" s="512"/>
      <c r="O350" s="512"/>
      <c r="P350" s="512"/>
      <c r="Q350" s="512"/>
      <c r="R350" s="512"/>
      <c r="S350" s="512">
        <v>348</v>
      </c>
      <c r="T350" s="512">
        <v>150</v>
      </c>
      <c r="U350" s="512"/>
      <c r="V350" s="512"/>
      <c r="W350" s="512"/>
      <c r="X350" s="512"/>
      <c r="Y350" s="511"/>
    </row>
    <row r="351" spans="12:25" x14ac:dyDescent="0.2">
      <c r="L351" s="512"/>
      <c r="M351" s="512"/>
      <c r="N351" s="512"/>
      <c r="O351" s="512"/>
      <c r="P351" s="512"/>
      <c r="Q351" s="512"/>
      <c r="R351" s="512"/>
      <c r="S351" s="512">
        <v>349</v>
      </c>
      <c r="T351" s="512">
        <v>150</v>
      </c>
      <c r="U351" s="512"/>
      <c r="V351" s="512"/>
      <c r="W351" s="512"/>
      <c r="X351" s="512"/>
      <c r="Y351" s="511"/>
    </row>
    <row r="352" spans="12:25" x14ac:dyDescent="0.2">
      <c r="L352" s="512"/>
      <c r="M352" s="512"/>
      <c r="N352" s="512"/>
      <c r="O352" s="512"/>
      <c r="P352" s="512"/>
      <c r="Q352" s="512"/>
      <c r="R352" s="512"/>
      <c r="S352" s="512">
        <v>350</v>
      </c>
      <c r="T352" s="512">
        <v>150</v>
      </c>
      <c r="U352" s="512"/>
      <c r="V352" s="512"/>
      <c r="W352" s="512"/>
      <c r="X352" s="512"/>
      <c r="Y352" s="511"/>
    </row>
    <row r="353" spans="12:25" x14ac:dyDescent="0.2">
      <c r="L353" s="512"/>
      <c r="M353" s="512"/>
      <c r="N353" s="512"/>
      <c r="O353" s="512"/>
      <c r="P353" s="512"/>
      <c r="Q353" s="512"/>
      <c r="R353" s="512"/>
      <c r="S353" s="512">
        <v>351</v>
      </c>
      <c r="T353" s="512">
        <v>150</v>
      </c>
      <c r="U353" s="512"/>
      <c r="V353" s="512"/>
      <c r="W353" s="512"/>
      <c r="X353" s="512"/>
      <c r="Y353" s="511"/>
    </row>
    <row r="354" spans="12:25" x14ac:dyDescent="0.2">
      <c r="L354" s="512"/>
      <c r="M354" s="512"/>
      <c r="N354" s="512"/>
      <c r="O354" s="512"/>
      <c r="P354" s="512"/>
      <c r="Q354" s="512"/>
      <c r="R354" s="512"/>
      <c r="S354" s="512">
        <v>352</v>
      </c>
      <c r="T354" s="512">
        <v>150</v>
      </c>
      <c r="U354" s="512"/>
      <c r="V354" s="512"/>
      <c r="W354" s="512"/>
      <c r="X354" s="512"/>
      <c r="Y354" s="511"/>
    </row>
    <row r="355" spans="12:25" x14ac:dyDescent="0.2">
      <c r="L355" s="512"/>
      <c r="M355" s="512"/>
      <c r="N355" s="512"/>
      <c r="O355" s="512"/>
      <c r="P355" s="512"/>
      <c r="Q355" s="512"/>
      <c r="R355" s="512"/>
      <c r="S355" s="512">
        <v>353</v>
      </c>
      <c r="T355" s="512">
        <v>150</v>
      </c>
      <c r="U355" s="512"/>
      <c r="V355" s="512"/>
      <c r="W355" s="512"/>
      <c r="X355" s="512"/>
      <c r="Y355" s="511"/>
    </row>
    <row r="356" spans="12:25" x14ac:dyDescent="0.2">
      <c r="L356" s="512"/>
      <c r="M356" s="512"/>
      <c r="N356" s="512"/>
      <c r="O356" s="512"/>
      <c r="P356" s="512"/>
      <c r="Q356" s="512"/>
      <c r="R356" s="512"/>
      <c r="S356" s="512">
        <v>354</v>
      </c>
      <c r="T356" s="512">
        <v>150</v>
      </c>
      <c r="U356" s="512"/>
      <c r="V356" s="512"/>
      <c r="W356" s="512"/>
      <c r="X356" s="512"/>
      <c r="Y356" s="511"/>
    </row>
    <row r="357" spans="12:25" x14ac:dyDescent="0.2">
      <c r="L357" s="512"/>
      <c r="M357" s="512"/>
      <c r="N357" s="512"/>
      <c r="O357" s="512"/>
      <c r="P357" s="512"/>
      <c r="Q357" s="512"/>
      <c r="R357" s="512"/>
      <c r="S357" s="512">
        <v>355</v>
      </c>
      <c r="T357" s="512">
        <v>150</v>
      </c>
      <c r="U357" s="512"/>
      <c r="V357" s="512"/>
      <c r="W357" s="512"/>
      <c r="X357" s="512"/>
      <c r="Y357" s="511"/>
    </row>
    <row r="358" spans="12:25" x14ac:dyDescent="0.2">
      <c r="L358" s="512"/>
      <c r="M358" s="512"/>
      <c r="N358" s="512"/>
      <c r="O358" s="512"/>
      <c r="P358" s="512"/>
      <c r="Q358" s="512"/>
      <c r="R358" s="512"/>
      <c r="S358" s="512">
        <v>356</v>
      </c>
      <c r="T358" s="512">
        <v>150</v>
      </c>
      <c r="U358" s="512"/>
      <c r="V358" s="512"/>
      <c r="W358" s="512"/>
      <c r="X358" s="512"/>
      <c r="Y358" s="511"/>
    </row>
    <row r="359" spans="12:25" x14ac:dyDescent="0.2">
      <c r="L359" s="512"/>
      <c r="M359" s="512"/>
      <c r="N359" s="512"/>
      <c r="O359" s="512"/>
      <c r="P359" s="512"/>
      <c r="Q359" s="512"/>
      <c r="R359" s="512"/>
      <c r="S359" s="512">
        <v>357</v>
      </c>
      <c r="T359" s="512">
        <v>150</v>
      </c>
      <c r="U359" s="512"/>
      <c r="V359" s="512"/>
      <c r="W359" s="512"/>
      <c r="X359" s="512"/>
      <c r="Y359" s="511"/>
    </row>
    <row r="360" spans="12:25" x14ac:dyDescent="0.2">
      <c r="L360" s="512"/>
      <c r="M360" s="512"/>
      <c r="N360" s="512"/>
      <c r="O360" s="512"/>
      <c r="P360" s="512"/>
      <c r="Q360" s="512"/>
      <c r="R360" s="512"/>
      <c r="S360" s="512">
        <v>358</v>
      </c>
      <c r="T360" s="512">
        <v>150</v>
      </c>
      <c r="U360" s="512"/>
      <c r="V360" s="512"/>
      <c r="W360" s="512"/>
      <c r="X360" s="512"/>
      <c r="Y360" s="511"/>
    </row>
    <row r="361" spans="12:25" x14ac:dyDescent="0.2">
      <c r="L361" s="512"/>
      <c r="M361" s="512"/>
      <c r="N361" s="512"/>
      <c r="O361" s="512"/>
      <c r="P361" s="512"/>
      <c r="Q361" s="512"/>
      <c r="R361" s="512"/>
      <c r="S361" s="512">
        <v>359</v>
      </c>
      <c r="T361" s="512">
        <v>150</v>
      </c>
      <c r="U361" s="512"/>
      <c r="V361" s="512"/>
      <c r="W361" s="512"/>
      <c r="X361" s="512"/>
      <c r="Y361" s="511"/>
    </row>
    <row r="362" spans="12:25" x14ac:dyDescent="0.2">
      <c r="L362" s="512"/>
      <c r="M362" s="512"/>
      <c r="N362" s="512"/>
      <c r="O362" s="512"/>
      <c r="P362" s="512"/>
      <c r="Q362" s="512"/>
      <c r="R362" s="512"/>
      <c r="S362" s="512">
        <v>360</v>
      </c>
      <c r="T362" s="512">
        <v>150</v>
      </c>
      <c r="U362" s="512">
        <v>360</v>
      </c>
      <c r="V362" s="512"/>
      <c r="W362" s="512"/>
      <c r="X362" s="512"/>
      <c r="Y362" s="511"/>
    </row>
    <row r="363" spans="12:25" x14ac:dyDescent="0.2">
      <c r="L363" s="512"/>
      <c r="M363" s="512"/>
      <c r="N363" s="512"/>
      <c r="O363" s="512"/>
      <c r="P363" s="512"/>
      <c r="Q363" s="512"/>
      <c r="R363" s="512"/>
      <c r="S363" s="512"/>
      <c r="T363" s="512"/>
      <c r="U363" s="512"/>
      <c r="V363" s="512"/>
      <c r="W363" s="512"/>
      <c r="X363" s="512"/>
      <c r="Y363" s="511"/>
    </row>
    <row r="364" spans="12:25" x14ac:dyDescent="0.2">
      <c r="L364" s="512"/>
      <c r="M364" s="512"/>
      <c r="N364" s="512"/>
      <c r="O364" s="512"/>
      <c r="P364" s="512"/>
      <c r="Q364" s="512"/>
      <c r="R364" s="512"/>
      <c r="S364" s="512"/>
      <c r="T364" s="512"/>
      <c r="U364" s="512"/>
      <c r="V364" s="512"/>
      <c r="W364" s="512"/>
      <c r="X364" s="512"/>
      <c r="Y364" s="511"/>
    </row>
    <row r="365" spans="12:25" x14ac:dyDescent="0.2">
      <c r="L365" s="512"/>
      <c r="M365" s="512"/>
      <c r="N365" s="512"/>
      <c r="O365" s="512"/>
      <c r="P365" s="512"/>
      <c r="Q365" s="512"/>
      <c r="R365" s="512"/>
      <c r="S365" s="512"/>
      <c r="T365" s="512"/>
      <c r="U365" s="512"/>
      <c r="V365" s="512"/>
      <c r="W365" s="512"/>
      <c r="X365" s="512"/>
      <c r="Y365" s="511"/>
    </row>
    <row r="366" spans="12:25" x14ac:dyDescent="0.2">
      <c r="L366" s="512"/>
      <c r="M366" s="512"/>
      <c r="N366" s="512"/>
      <c r="O366" s="512"/>
      <c r="P366" s="512"/>
      <c r="Q366" s="512"/>
      <c r="R366" s="512"/>
      <c r="S366" s="512"/>
      <c r="T366" s="512"/>
      <c r="U366" s="512"/>
      <c r="V366" s="512"/>
      <c r="W366" s="512"/>
      <c r="X366" s="512"/>
      <c r="Y366" s="511"/>
    </row>
    <row r="367" spans="12:25" x14ac:dyDescent="0.2">
      <c r="L367" s="512"/>
      <c r="M367" s="512"/>
      <c r="N367" s="512"/>
      <c r="O367" s="512"/>
      <c r="P367" s="512"/>
      <c r="Q367" s="512"/>
      <c r="R367" s="512"/>
      <c r="S367" s="512"/>
      <c r="T367" s="512"/>
      <c r="U367" s="512"/>
      <c r="V367" s="512"/>
      <c r="W367" s="512"/>
      <c r="X367" s="512"/>
      <c r="Y367" s="511"/>
    </row>
    <row r="368" spans="12:25" x14ac:dyDescent="0.2">
      <c r="L368" s="512"/>
      <c r="M368" s="512"/>
      <c r="N368" s="512"/>
      <c r="O368" s="512"/>
      <c r="P368" s="512"/>
      <c r="Q368" s="512"/>
      <c r="R368" s="512"/>
      <c r="S368" s="512"/>
      <c r="T368" s="512"/>
      <c r="U368" s="512"/>
      <c r="V368" s="512"/>
      <c r="W368" s="512"/>
      <c r="X368" s="512"/>
      <c r="Y368" s="511"/>
    </row>
    <row r="369" spans="12:25" x14ac:dyDescent="0.2">
      <c r="L369" s="512"/>
      <c r="M369" s="512"/>
      <c r="N369" s="512"/>
      <c r="O369" s="512"/>
      <c r="P369" s="512"/>
      <c r="Q369" s="512"/>
      <c r="R369" s="512"/>
      <c r="S369" s="512"/>
      <c r="T369" s="512"/>
      <c r="U369" s="512"/>
      <c r="V369" s="512"/>
      <c r="W369" s="512"/>
      <c r="X369" s="512"/>
      <c r="Y369" s="511"/>
    </row>
    <row r="370" spans="12:25" x14ac:dyDescent="0.2">
      <c r="L370" s="512"/>
      <c r="M370" s="512"/>
      <c r="N370" s="512"/>
      <c r="O370" s="512"/>
      <c r="P370" s="512"/>
      <c r="Q370" s="512"/>
      <c r="R370" s="512"/>
      <c r="S370" s="512"/>
      <c r="T370" s="512"/>
      <c r="U370" s="512"/>
      <c r="V370" s="512"/>
      <c r="W370" s="512"/>
      <c r="X370" s="512"/>
      <c r="Y370" s="511"/>
    </row>
    <row r="371" spans="12:25" x14ac:dyDescent="0.2">
      <c r="L371" s="512"/>
      <c r="M371" s="512"/>
      <c r="N371" s="512"/>
      <c r="O371" s="512"/>
      <c r="P371" s="512"/>
      <c r="Q371" s="512"/>
      <c r="R371" s="512"/>
      <c r="S371" s="512"/>
      <c r="T371" s="512"/>
      <c r="U371" s="512"/>
      <c r="V371" s="512"/>
      <c r="W371" s="512"/>
      <c r="X371" s="512"/>
      <c r="Y371" s="511"/>
    </row>
    <row r="372" spans="12:25" x14ac:dyDescent="0.2">
      <c r="L372" s="512"/>
      <c r="M372" s="512"/>
      <c r="N372" s="512"/>
      <c r="O372" s="512"/>
      <c r="P372" s="512"/>
      <c r="Q372" s="512"/>
      <c r="R372" s="512"/>
      <c r="S372" s="512"/>
      <c r="T372" s="512"/>
      <c r="U372" s="512"/>
      <c r="V372" s="512"/>
      <c r="W372" s="512"/>
      <c r="X372" s="512"/>
      <c r="Y372" s="511"/>
    </row>
    <row r="373" spans="12:25" x14ac:dyDescent="0.2">
      <c r="L373" s="512"/>
      <c r="M373" s="512"/>
      <c r="N373" s="512"/>
      <c r="O373" s="512"/>
      <c r="P373" s="512"/>
      <c r="Q373" s="512"/>
      <c r="R373" s="512"/>
      <c r="S373" s="512"/>
      <c r="T373" s="512"/>
      <c r="U373" s="512"/>
      <c r="V373" s="512"/>
      <c r="W373" s="512"/>
      <c r="X373" s="512"/>
      <c r="Y373" s="511"/>
    </row>
    <row r="374" spans="12:25" x14ac:dyDescent="0.2">
      <c r="L374" s="512"/>
      <c r="M374" s="512"/>
      <c r="N374" s="512"/>
      <c r="O374" s="512"/>
      <c r="P374" s="512"/>
      <c r="Q374" s="512"/>
      <c r="R374" s="512"/>
      <c r="S374" s="512"/>
      <c r="T374" s="512"/>
      <c r="U374" s="512"/>
      <c r="V374" s="512"/>
      <c r="W374" s="512"/>
      <c r="X374" s="512"/>
      <c r="Y374" s="511"/>
    </row>
    <row r="375" spans="12:25" x14ac:dyDescent="0.2">
      <c r="L375" s="512"/>
      <c r="M375" s="512"/>
      <c r="N375" s="512"/>
      <c r="O375" s="512"/>
      <c r="P375" s="512"/>
      <c r="Q375" s="512"/>
      <c r="R375" s="512"/>
      <c r="S375" s="512"/>
      <c r="T375" s="512"/>
      <c r="U375" s="512"/>
      <c r="V375" s="512"/>
      <c r="W375" s="512"/>
      <c r="X375" s="512"/>
      <c r="Y375" s="511"/>
    </row>
    <row r="376" spans="12:25" x14ac:dyDescent="0.2">
      <c r="L376" s="512"/>
      <c r="M376" s="512"/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1"/>
    </row>
    <row r="377" spans="12:25" x14ac:dyDescent="0.2">
      <c r="L377" s="512"/>
      <c r="M377" s="512"/>
      <c r="N377" s="512"/>
      <c r="O377" s="512"/>
      <c r="P377" s="512"/>
      <c r="Q377" s="512"/>
      <c r="R377" s="512"/>
      <c r="S377" s="512"/>
      <c r="T377" s="512"/>
      <c r="U377" s="512"/>
      <c r="V377" s="512"/>
      <c r="W377" s="512"/>
      <c r="X377" s="512"/>
      <c r="Y377" s="511"/>
    </row>
    <row r="378" spans="12:25" x14ac:dyDescent="0.2">
      <c r="L378" s="512"/>
      <c r="M378" s="512"/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1"/>
    </row>
    <row r="379" spans="12:25" x14ac:dyDescent="0.2">
      <c r="L379" s="512"/>
      <c r="M379" s="512"/>
      <c r="N379" s="512"/>
      <c r="O379" s="512"/>
      <c r="P379" s="512"/>
      <c r="Q379" s="512"/>
      <c r="R379" s="512"/>
      <c r="S379" s="512"/>
      <c r="T379" s="512"/>
      <c r="U379" s="512"/>
      <c r="V379" s="512"/>
      <c r="W379" s="512"/>
      <c r="X379" s="512"/>
      <c r="Y379" s="511"/>
    </row>
    <row r="380" spans="12:25" x14ac:dyDescent="0.2">
      <c r="L380" s="512"/>
      <c r="M380" s="512"/>
      <c r="N380" s="512"/>
      <c r="O380" s="512"/>
      <c r="P380" s="512"/>
      <c r="Q380" s="512"/>
      <c r="R380" s="512"/>
      <c r="S380" s="512"/>
      <c r="T380" s="512"/>
      <c r="U380" s="512"/>
      <c r="V380" s="512"/>
      <c r="W380" s="512"/>
      <c r="X380" s="512"/>
      <c r="Y380" s="511"/>
    </row>
    <row r="381" spans="12:25" x14ac:dyDescent="0.2">
      <c r="L381" s="512"/>
      <c r="M381" s="512"/>
      <c r="N381" s="512"/>
      <c r="O381" s="512"/>
      <c r="P381" s="512"/>
      <c r="Q381" s="512"/>
      <c r="R381" s="512"/>
      <c r="S381" s="512"/>
      <c r="T381" s="512"/>
      <c r="U381" s="512"/>
      <c r="V381" s="512"/>
      <c r="W381" s="512"/>
      <c r="X381" s="512"/>
      <c r="Y381" s="511"/>
    </row>
    <row r="382" spans="12:25" x14ac:dyDescent="0.2">
      <c r="L382" s="512"/>
      <c r="M382" s="512"/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1"/>
    </row>
    <row r="383" spans="12:25" x14ac:dyDescent="0.2">
      <c r="L383" s="512"/>
      <c r="M383" s="512"/>
      <c r="N383" s="512"/>
      <c r="O383" s="512"/>
      <c r="P383" s="512"/>
      <c r="Q383" s="512"/>
      <c r="R383" s="512"/>
      <c r="S383" s="512"/>
      <c r="T383" s="512"/>
      <c r="U383" s="512"/>
      <c r="V383" s="512"/>
      <c r="W383" s="512"/>
      <c r="X383" s="512"/>
      <c r="Y383" s="511"/>
    </row>
    <row r="384" spans="12:25" x14ac:dyDescent="0.2">
      <c r="L384" s="512"/>
      <c r="M384" s="512"/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1"/>
    </row>
    <row r="385" spans="12:25" x14ac:dyDescent="0.2">
      <c r="L385" s="512"/>
      <c r="M385" s="512"/>
      <c r="N385" s="512"/>
      <c r="O385" s="512"/>
      <c r="P385" s="512"/>
      <c r="Q385" s="512"/>
      <c r="R385" s="512"/>
      <c r="S385" s="512"/>
      <c r="T385" s="512"/>
      <c r="U385" s="512"/>
      <c r="V385" s="512"/>
      <c r="W385" s="512"/>
      <c r="X385" s="512"/>
      <c r="Y385" s="511"/>
    </row>
    <row r="386" spans="12:25" x14ac:dyDescent="0.2">
      <c r="L386" s="512"/>
      <c r="M386" s="512"/>
      <c r="N386" s="512"/>
      <c r="O386" s="512"/>
      <c r="P386" s="512"/>
      <c r="Q386" s="512"/>
      <c r="R386" s="512"/>
      <c r="S386" s="512"/>
      <c r="T386" s="512"/>
      <c r="U386" s="512"/>
      <c r="V386" s="512"/>
      <c r="W386" s="512"/>
      <c r="X386" s="512"/>
      <c r="Y386" s="511"/>
    </row>
    <row r="387" spans="12:25" x14ac:dyDescent="0.2">
      <c r="L387" s="512"/>
      <c r="M387" s="512"/>
      <c r="N387" s="512"/>
      <c r="O387" s="512"/>
      <c r="P387" s="512"/>
      <c r="Q387" s="512"/>
      <c r="R387" s="512"/>
      <c r="S387" s="512"/>
      <c r="T387" s="512"/>
      <c r="U387" s="512"/>
      <c r="V387" s="512"/>
      <c r="W387" s="512"/>
      <c r="X387" s="512"/>
      <c r="Y387" s="511"/>
    </row>
    <row r="388" spans="12:25" x14ac:dyDescent="0.2">
      <c r="L388" s="512"/>
      <c r="M388" s="512"/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1"/>
    </row>
    <row r="389" spans="12:25" x14ac:dyDescent="0.2">
      <c r="L389" s="512"/>
      <c r="M389" s="512"/>
      <c r="N389" s="512"/>
      <c r="O389" s="512"/>
      <c r="P389" s="512"/>
      <c r="Q389" s="512"/>
      <c r="R389" s="512"/>
      <c r="S389" s="512"/>
      <c r="T389" s="512"/>
      <c r="U389" s="512"/>
      <c r="V389" s="512"/>
      <c r="W389" s="512"/>
      <c r="X389" s="512"/>
      <c r="Y389" s="511"/>
    </row>
    <row r="390" spans="12:25" x14ac:dyDescent="0.2">
      <c r="L390" s="512"/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1"/>
    </row>
    <row r="391" spans="12:25" x14ac:dyDescent="0.2">
      <c r="L391" s="512"/>
      <c r="M391" s="512"/>
      <c r="N391" s="512"/>
      <c r="O391" s="512"/>
      <c r="P391" s="512"/>
      <c r="Q391" s="512"/>
      <c r="R391" s="512"/>
      <c r="S391" s="512"/>
      <c r="T391" s="512"/>
      <c r="U391" s="512"/>
      <c r="V391" s="512"/>
      <c r="W391" s="512"/>
      <c r="X391" s="512"/>
      <c r="Y391" s="511"/>
    </row>
    <row r="392" spans="12:25" x14ac:dyDescent="0.2">
      <c r="L392" s="512"/>
      <c r="M392" s="512"/>
      <c r="N392" s="512"/>
      <c r="O392" s="512"/>
      <c r="P392" s="512"/>
      <c r="Q392" s="512"/>
      <c r="R392" s="512"/>
      <c r="S392" s="512"/>
      <c r="T392" s="512"/>
      <c r="U392" s="512"/>
      <c r="V392" s="512"/>
      <c r="W392" s="512"/>
      <c r="X392" s="512"/>
      <c r="Y392" s="511"/>
    </row>
    <row r="393" spans="12:25" x14ac:dyDescent="0.2">
      <c r="L393" s="512"/>
      <c r="M393" s="512"/>
      <c r="N393" s="512"/>
      <c r="O393" s="512"/>
      <c r="P393" s="512"/>
      <c r="Q393" s="512"/>
      <c r="R393" s="512"/>
      <c r="S393" s="512"/>
      <c r="T393" s="512"/>
      <c r="U393" s="512"/>
      <c r="V393" s="512"/>
      <c r="W393" s="512"/>
      <c r="X393" s="512"/>
      <c r="Y393" s="511"/>
    </row>
    <row r="394" spans="12:25" x14ac:dyDescent="0.2">
      <c r="L394" s="512"/>
      <c r="M394" s="512"/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1"/>
    </row>
    <row r="395" spans="12:25" x14ac:dyDescent="0.2">
      <c r="L395" s="512"/>
      <c r="M395" s="512"/>
      <c r="N395" s="512"/>
      <c r="O395" s="512"/>
      <c r="P395" s="512"/>
      <c r="Q395" s="512"/>
      <c r="R395" s="512"/>
      <c r="S395" s="512"/>
      <c r="T395" s="512"/>
      <c r="U395" s="512"/>
      <c r="V395" s="512"/>
      <c r="W395" s="512"/>
      <c r="X395" s="512"/>
      <c r="Y395" s="511"/>
    </row>
    <row r="396" spans="12:25" x14ac:dyDescent="0.2">
      <c r="L396" s="512"/>
      <c r="M396" s="512"/>
      <c r="N396" s="512"/>
      <c r="O396" s="512"/>
      <c r="P396" s="512"/>
      <c r="Q396" s="512"/>
      <c r="R396" s="512"/>
      <c r="S396" s="512"/>
      <c r="T396" s="512"/>
      <c r="U396" s="512"/>
      <c r="V396" s="512"/>
      <c r="W396" s="512"/>
      <c r="X396" s="512"/>
      <c r="Y396" s="511"/>
    </row>
    <row r="397" spans="12:25" x14ac:dyDescent="0.2">
      <c r="L397" s="512"/>
      <c r="M397" s="512"/>
      <c r="N397" s="512"/>
      <c r="O397" s="512"/>
      <c r="P397" s="512"/>
      <c r="Q397" s="512"/>
      <c r="R397" s="512"/>
      <c r="S397" s="512"/>
      <c r="T397" s="512"/>
      <c r="U397" s="512"/>
      <c r="V397" s="512"/>
      <c r="W397" s="512"/>
      <c r="X397" s="512"/>
      <c r="Y397" s="511"/>
    </row>
    <row r="398" spans="12:25" x14ac:dyDescent="0.2">
      <c r="L398" s="512"/>
      <c r="M398" s="512"/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1"/>
    </row>
    <row r="399" spans="12:25" x14ac:dyDescent="0.2">
      <c r="L399" s="512"/>
      <c r="M399" s="512"/>
      <c r="N399" s="512"/>
      <c r="O399" s="512"/>
      <c r="P399" s="512"/>
      <c r="Q399" s="512"/>
      <c r="R399" s="512"/>
      <c r="S399" s="512"/>
      <c r="T399" s="512"/>
      <c r="U399" s="512"/>
      <c r="V399" s="512"/>
      <c r="W399" s="512"/>
      <c r="X399" s="512"/>
      <c r="Y399" s="511"/>
    </row>
    <row r="400" spans="12:25" x14ac:dyDescent="0.2">
      <c r="L400" s="512"/>
      <c r="M400" s="512"/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1"/>
    </row>
    <row r="401" spans="12:25" x14ac:dyDescent="0.2">
      <c r="L401" s="512"/>
      <c r="M401" s="512"/>
      <c r="N401" s="512"/>
      <c r="O401" s="512"/>
      <c r="P401" s="512"/>
      <c r="Q401" s="512"/>
      <c r="R401" s="512"/>
      <c r="S401" s="512"/>
      <c r="T401" s="512"/>
      <c r="U401" s="512"/>
      <c r="V401" s="512"/>
      <c r="W401" s="512"/>
      <c r="X401" s="512"/>
      <c r="Y401" s="511"/>
    </row>
    <row r="402" spans="12:25" x14ac:dyDescent="0.2">
      <c r="L402" s="511"/>
      <c r="M402" s="511"/>
      <c r="N402" s="511"/>
      <c r="O402" s="511"/>
      <c r="P402" s="511"/>
      <c r="Q402" s="511"/>
      <c r="R402" s="511"/>
      <c r="S402" s="511"/>
      <c r="T402" s="511"/>
      <c r="U402" s="511"/>
      <c r="V402" s="511"/>
      <c r="W402" s="511"/>
      <c r="X402" s="511"/>
      <c r="Y402" s="511"/>
    </row>
    <row r="403" spans="12:25" x14ac:dyDescent="0.2">
      <c r="L403" s="511"/>
      <c r="M403" s="511"/>
      <c r="N403" s="511"/>
      <c r="O403" s="511"/>
      <c r="P403" s="511"/>
      <c r="Q403" s="511"/>
      <c r="R403" s="511"/>
      <c r="S403" s="511"/>
      <c r="T403" s="511"/>
      <c r="U403" s="511"/>
      <c r="V403" s="511"/>
      <c r="W403" s="511"/>
      <c r="X403" s="511"/>
      <c r="Y403" s="511"/>
    </row>
    <row r="404" spans="12:25" x14ac:dyDescent="0.2">
      <c r="L404" s="511"/>
      <c r="M404" s="511"/>
      <c r="N404" s="511"/>
      <c r="O404" s="511"/>
      <c r="P404" s="511"/>
      <c r="Q404" s="511"/>
      <c r="R404" s="511"/>
      <c r="S404" s="511"/>
      <c r="T404" s="511"/>
      <c r="U404" s="511"/>
      <c r="V404" s="511"/>
      <c r="W404" s="511"/>
      <c r="X404" s="511"/>
      <c r="Y404" s="511"/>
    </row>
    <row r="405" spans="12:25" x14ac:dyDescent="0.2">
      <c r="L405" s="511"/>
      <c r="M405" s="511"/>
      <c r="N405" s="511"/>
      <c r="O405" s="511"/>
      <c r="P405" s="511"/>
      <c r="Q405" s="511"/>
      <c r="R405" s="511"/>
      <c r="S405" s="511"/>
      <c r="T405" s="511"/>
      <c r="U405" s="511"/>
      <c r="V405" s="511"/>
      <c r="W405" s="511"/>
      <c r="X405" s="511"/>
      <c r="Y405" s="511"/>
    </row>
    <row r="406" spans="12:25" x14ac:dyDescent="0.2">
      <c r="L406" s="511"/>
      <c r="M406" s="511"/>
      <c r="N406" s="511"/>
      <c r="O406" s="511"/>
      <c r="P406" s="511"/>
      <c r="Q406" s="511"/>
      <c r="R406" s="511"/>
      <c r="S406" s="511"/>
      <c r="T406" s="511"/>
      <c r="U406" s="511"/>
      <c r="V406" s="511"/>
      <c r="W406" s="511"/>
      <c r="X406" s="511"/>
      <c r="Y406" s="511"/>
    </row>
    <row r="407" spans="12:25" x14ac:dyDescent="0.2">
      <c r="L407" s="511"/>
      <c r="M407" s="511"/>
      <c r="N407" s="511"/>
      <c r="O407" s="511"/>
      <c r="P407" s="511"/>
      <c r="Q407" s="511"/>
      <c r="R407" s="511"/>
      <c r="S407" s="511"/>
      <c r="T407" s="511"/>
      <c r="U407" s="511"/>
      <c r="V407" s="511"/>
      <c r="W407" s="511"/>
      <c r="X407" s="511"/>
      <c r="Y407" s="511"/>
    </row>
    <row r="408" spans="12:25" x14ac:dyDescent="0.2">
      <c r="L408" s="511"/>
      <c r="M408" s="511"/>
      <c r="N408" s="511"/>
      <c r="O408" s="511"/>
      <c r="P408" s="511"/>
      <c r="Q408" s="511"/>
      <c r="R408" s="511"/>
      <c r="S408" s="511"/>
      <c r="T408" s="511"/>
      <c r="U408" s="511"/>
      <c r="V408" s="511"/>
      <c r="W408" s="511"/>
      <c r="X408" s="511"/>
      <c r="Y408" s="511"/>
    </row>
    <row r="409" spans="12:25" x14ac:dyDescent="0.2">
      <c r="L409" s="511"/>
      <c r="M409" s="511"/>
      <c r="N409" s="511"/>
      <c r="O409" s="511"/>
      <c r="P409" s="511"/>
      <c r="Q409" s="511"/>
      <c r="R409" s="511"/>
      <c r="S409" s="511"/>
      <c r="T409" s="511"/>
      <c r="U409" s="511"/>
      <c r="V409" s="511"/>
      <c r="W409" s="511"/>
      <c r="X409" s="511"/>
      <c r="Y409" s="511"/>
    </row>
    <row r="410" spans="12:25" x14ac:dyDescent="0.2">
      <c r="L410" s="511"/>
      <c r="M410" s="511"/>
      <c r="N410" s="511"/>
      <c r="O410" s="511"/>
      <c r="P410" s="511"/>
      <c r="Q410" s="511"/>
      <c r="R410" s="511"/>
      <c r="S410" s="511"/>
      <c r="T410" s="511"/>
      <c r="U410" s="511"/>
      <c r="V410" s="511"/>
      <c r="W410" s="511"/>
      <c r="X410" s="511"/>
      <c r="Y410" s="511"/>
    </row>
    <row r="411" spans="12:25" x14ac:dyDescent="0.2">
      <c r="L411" s="511"/>
      <c r="M411" s="511"/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</row>
    <row r="412" spans="12:25" x14ac:dyDescent="0.2">
      <c r="L412" s="511"/>
      <c r="M412" s="511"/>
      <c r="N412" s="511"/>
      <c r="O412" s="511"/>
      <c r="P412" s="511"/>
      <c r="Q412" s="511"/>
      <c r="R412" s="511"/>
      <c r="S412" s="511"/>
      <c r="T412" s="511"/>
      <c r="U412" s="511"/>
      <c r="V412" s="511"/>
      <c r="W412" s="511"/>
      <c r="X412" s="511"/>
      <c r="Y412" s="511"/>
    </row>
    <row r="413" spans="12:25" x14ac:dyDescent="0.2">
      <c r="L413" s="511"/>
      <c r="M413" s="511"/>
      <c r="N413" s="511"/>
      <c r="O413" s="511"/>
      <c r="P413" s="511"/>
      <c r="Q413" s="511"/>
      <c r="R413" s="511"/>
      <c r="S413" s="511"/>
      <c r="T413" s="511"/>
      <c r="U413" s="511"/>
      <c r="V413" s="511"/>
      <c r="W413" s="511"/>
      <c r="X413" s="511"/>
      <c r="Y413" s="511"/>
    </row>
    <row r="414" spans="12:25" x14ac:dyDescent="0.2">
      <c r="L414" s="511"/>
      <c r="M414" s="511"/>
      <c r="N414" s="511"/>
      <c r="O414" s="511"/>
      <c r="P414" s="511"/>
      <c r="Q414" s="511"/>
      <c r="R414" s="511"/>
      <c r="S414" s="511"/>
      <c r="T414" s="511"/>
      <c r="U414" s="511"/>
      <c r="V414" s="511"/>
      <c r="W414" s="511"/>
      <c r="X414" s="511"/>
      <c r="Y414" s="511"/>
    </row>
    <row r="415" spans="12:25" x14ac:dyDescent="0.2">
      <c r="L415" s="511"/>
      <c r="M415" s="511"/>
      <c r="N415" s="511"/>
      <c r="O415" s="511"/>
      <c r="P415" s="511"/>
      <c r="Q415" s="511"/>
      <c r="R415" s="511"/>
      <c r="S415" s="511"/>
      <c r="T415" s="511"/>
      <c r="U415" s="511"/>
      <c r="V415" s="511"/>
      <c r="W415" s="511"/>
      <c r="X415" s="511"/>
      <c r="Y415" s="511"/>
    </row>
    <row r="416" spans="12:25" x14ac:dyDescent="0.2">
      <c r="L416" s="511"/>
      <c r="M416" s="511"/>
      <c r="N416" s="511"/>
      <c r="O416" s="511"/>
      <c r="P416" s="511"/>
      <c r="Q416" s="511"/>
      <c r="R416" s="511"/>
      <c r="S416" s="511"/>
      <c r="T416" s="511"/>
      <c r="U416" s="511"/>
      <c r="V416" s="511"/>
      <c r="W416" s="511"/>
      <c r="X416" s="511"/>
      <c r="Y416" s="511"/>
    </row>
    <row r="417" spans="12:25" x14ac:dyDescent="0.2">
      <c r="L417" s="511"/>
      <c r="M417" s="511"/>
      <c r="N417" s="511"/>
      <c r="O417" s="511"/>
      <c r="P417" s="511"/>
      <c r="Q417" s="511"/>
      <c r="R417" s="511"/>
      <c r="S417" s="511"/>
      <c r="T417" s="511"/>
      <c r="U417" s="511"/>
      <c r="V417" s="511"/>
      <c r="W417" s="511"/>
      <c r="X417" s="511"/>
      <c r="Y417" s="511"/>
    </row>
    <row r="418" spans="12:25" x14ac:dyDescent="0.2">
      <c r="L418" s="511"/>
      <c r="M418" s="511"/>
      <c r="N418" s="511"/>
      <c r="O418" s="511"/>
      <c r="P418" s="511"/>
      <c r="Q418" s="511"/>
      <c r="R418" s="511"/>
      <c r="S418" s="511"/>
      <c r="T418" s="511"/>
      <c r="U418" s="511"/>
      <c r="V418" s="511"/>
      <c r="W418" s="511"/>
      <c r="X418" s="511"/>
      <c r="Y418" s="511"/>
    </row>
    <row r="419" spans="12:25" x14ac:dyDescent="0.2">
      <c r="L419" s="511"/>
      <c r="M419" s="511"/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</row>
    <row r="420" spans="12:25" x14ac:dyDescent="0.2">
      <c r="L420" s="511"/>
      <c r="M420" s="511"/>
      <c r="N420" s="511"/>
      <c r="O420" s="511"/>
      <c r="P420" s="511"/>
      <c r="Q420" s="511"/>
      <c r="R420" s="511"/>
      <c r="S420" s="511"/>
      <c r="T420" s="511"/>
      <c r="U420" s="511"/>
      <c r="V420" s="511"/>
      <c r="W420" s="511"/>
      <c r="X420" s="511"/>
      <c r="Y420" s="511"/>
    </row>
    <row r="421" spans="12:25" x14ac:dyDescent="0.2">
      <c r="L421" s="511"/>
      <c r="M421" s="511"/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</row>
    <row r="422" spans="12:25" x14ac:dyDescent="0.2">
      <c r="L422" s="511"/>
      <c r="M422" s="511"/>
      <c r="N422" s="511"/>
      <c r="O422" s="511"/>
      <c r="P422" s="511"/>
      <c r="Q422" s="511"/>
      <c r="R422" s="511"/>
      <c r="S422" s="511"/>
      <c r="T422" s="511"/>
      <c r="U422" s="511"/>
      <c r="V422" s="511"/>
      <c r="W422" s="511"/>
      <c r="X422" s="511"/>
      <c r="Y422" s="511"/>
    </row>
    <row r="423" spans="12:25" x14ac:dyDescent="0.2">
      <c r="L423" s="511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/>
    </row>
    <row r="424" spans="12:25" x14ac:dyDescent="0.2">
      <c r="L424" s="511"/>
      <c r="M424" s="511"/>
      <c r="N424" s="511"/>
      <c r="O424" s="511"/>
      <c r="P424" s="511"/>
      <c r="Q424" s="511"/>
      <c r="R424" s="511"/>
      <c r="S424" s="511"/>
      <c r="T424" s="511"/>
      <c r="U424" s="511"/>
      <c r="V424" s="511"/>
      <c r="W424" s="511"/>
      <c r="X424" s="511"/>
      <c r="Y424" s="511"/>
    </row>
    <row r="425" spans="12:25" x14ac:dyDescent="0.2">
      <c r="L425" s="511"/>
      <c r="M425" s="511"/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</row>
    <row r="426" spans="12:25" x14ac:dyDescent="0.2">
      <c r="L426" s="511"/>
      <c r="M426" s="511"/>
      <c r="N426" s="511"/>
      <c r="O426" s="511"/>
      <c r="P426" s="511"/>
      <c r="Q426" s="511"/>
      <c r="R426" s="511"/>
      <c r="S426" s="511"/>
      <c r="T426" s="511"/>
      <c r="U426" s="511"/>
      <c r="V426" s="511"/>
      <c r="W426" s="511"/>
      <c r="X426" s="511"/>
      <c r="Y426" s="511"/>
    </row>
    <row r="427" spans="12:25" x14ac:dyDescent="0.2">
      <c r="L427" s="511"/>
      <c r="M427" s="511"/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</row>
    <row r="428" spans="12:25" x14ac:dyDescent="0.2">
      <c r="L428" s="511"/>
      <c r="M428" s="511"/>
      <c r="N428" s="511"/>
      <c r="O428" s="511"/>
      <c r="P428" s="511"/>
      <c r="Q428" s="511"/>
      <c r="R428" s="511"/>
      <c r="S428" s="511"/>
      <c r="T428" s="511"/>
      <c r="U428" s="511"/>
      <c r="V428" s="511"/>
      <c r="W428" s="511"/>
      <c r="X428" s="511"/>
      <c r="Y428" s="511"/>
    </row>
    <row r="429" spans="12:25" x14ac:dyDescent="0.2">
      <c r="L429" s="511"/>
      <c r="M429" s="511"/>
      <c r="N429" s="511"/>
      <c r="O429" s="511"/>
      <c r="P429" s="511"/>
      <c r="Q429" s="511"/>
      <c r="R429" s="511"/>
      <c r="S429" s="511"/>
      <c r="T429" s="511"/>
      <c r="U429" s="511"/>
      <c r="V429" s="511"/>
      <c r="W429" s="511"/>
      <c r="X429" s="511"/>
      <c r="Y429" s="511"/>
    </row>
    <row r="430" spans="12:25" x14ac:dyDescent="0.2">
      <c r="L430" s="511"/>
      <c r="M430" s="511"/>
      <c r="N430" s="511"/>
      <c r="O430" s="511"/>
      <c r="P430" s="511"/>
      <c r="Q430" s="511"/>
      <c r="R430" s="511"/>
      <c r="S430" s="511"/>
      <c r="T430" s="511"/>
      <c r="U430" s="511"/>
      <c r="V430" s="511"/>
      <c r="W430" s="511"/>
      <c r="X430" s="511"/>
      <c r="Y430" s="511"/>
    </row>
    <row r="431" spans="12:25" x14ac:dyDescent="0.2">
      <c r="L431" s="511"/>
      <c r="M431" s="511"/>
      <c r="N431" s="511"/>
      <c r="O431" s="511"/>
      <c r="P431" s="511"/>
      <c r="Q431" s="511"/>
      <c r="R431" s="511"/>
      <c r="S431" s="511"/>
      <c r="T431" s="511"/>
      <c r="U431" s="511"/>
      <c r="V431" s="511"/>
      <c r="W431" s="511"/>
      <c r="X431" s="511"/>
      <c r="Y431" s="511"/>
    </row>
    <row r="432" spans="12:25" x14ac:dyDescent="0.2">
      <c r="L432" s="511"/>
      <c r="M432" s="511"/>
      <c r="N432" s="511"/>
      <c r="O432" s="511"/>
      <c r="P432" s="511"/>
      <c r="Q432" s="511"/>
      <c r="R432" s="511"/>
      <c r="S432" s="511"/>
      <c r="T432" s="511"/>
      <c r="U432" s="511"/>
      <c r="V432" s="511"/>
      <c r="W432" s="511"/>
      <c r="X432" s="511"/>
      <c r="Y432" s="511"/>
    </row>
    <row r="433" spans="12:25" x14ac:dyDescent="0.2">
      <c r="L433" s="511"/>
      <c r="M433" s="511"/>
      <c r="N433" s="511"/>
      <c r="O433" s="511"/>
      <c r="P433" s="511"/>
      <c r="Q433" s="511"/>
      <c r="R433" s="511"/>
      <c r="S433" s="511"/>
      <c r="T433" s="511"/>
      <c r="U433" s="511"/>
      <c r="V433" s="511"/>
      <c r="W433" s="511"/>
      <c r="X433" s="511"/>
      <c r="Y433" s="511"/>
    </row>
    <row r="434" spans="12:25" x14ac:dyDescent="0.2">
      <c r="L434" s="511"/>
      <c r="M434" s="511"/>
      <c r="N434" s="511"/>
      <c r="O434" s="511"/>
      <c r="P434" s="511"/>
      <c r="Q434" s="511"/>
      <c r="R434" s="511"/>
      <c r="S434" s="511"/>
      <c r="T434" s="511"/>
      <c r="U434" s="511"/>
      <c r="V434" s="511"/>
      <c r="W434" s="511"/>
      <c r="X434" s="511"/>
      <c r="Y434" s="511"/>
    </row>
    <row r="435" spans="12:25" x14ac:dyDescent="0.2">
      <c r="L435" s="511"/>
      <c r="M435" s="511"/>
      <c r="N435" s="511"/>
      <c r="O435" s="511"/>
      <c r="P435" s="511"/>
      <c r="Q435" s="511"/>
      <c r="R435" s="511"/>
      <c r="S435" s="511"/>
      <c r="T435" s="511"/>
      <c r="U435" s="511"/>
      <c r="V435" s="511"/>
      <c r="W435" s="511"/>
      <c r="X435" s="511"/>
      <c r="Y435" s="511"/>
    </row>
    <row r="436" spans="12:25" x14ac:dyDescent="0.2">
      <c r="L436" s="511"/>
      <c r="M436" s="511"/>
      <c r="N436" s="511"/>
      <c r="O436" s="511"/>
      <c r="P436" s="511"/>
      <c r="Q436" s="511"/>
      <c r="R436" s="511"/>
      <c r="S436" s="511"/>
      <c r="T436" s="511"/>
      <c r="U436" s="511"/>
      <c r="V436" s="511"/>
      <c r="W436" s="511"/>
      <c r="X436" s="511"/>
      <c r="Y436" s="511"/>
    </row>
    <row r="437" spans="12:25" x14ac:dyDescent="0.2">
      <c r="L437" s="511"/>
      <c r="M437" s="511"/>
      <c r="N437" s="511"/>
      <c r="O437" s="511"/>
      <c r="P437" s="511"/>
      <c r="Q437" s="511"/>
      <c r="R437" s="511"/>
      <c r="S437" s="511"/>
      <c r="T437" s="511"/>
      <c r="U437" s="511"/>
      <c r="V437" s="511"/>
      <c r="W437" s="511"/>
      <c r="X437" s="511"/>
      <c r="Y437" s="511"/>
    </row>
    <row r="438" spans="12:25" x14ac:dyDescent="0.2">
      <c r="L438" s="511"/>
      <c r="M438" s="511"/>
      <c r="N438" s="511"/>
      <c r="O438" s="511"/>
      <c r="P438" s="511"/>
      <c r="Q438" s="511"/>
      <c r="R438" s="511"/>
      <c r="S438" s="511"/>
      <c r="T438" s="511"/>
      <c r="U438" s="511"/>
      <c r="V438" s="511"/>
      <c r="W438" s="511"/>
      <c r="X438" s="511"/>
      <c r="Y438" s="511"/>
    </row>
    <row r="439" spans="12:25" x14ac:dyDescent="0.2">
      <c r="L439" s="511"/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</row>
    <row r="440" spans="12:25" x14ac:dyDescent="0.2">
      <c r="L440" s="511"/>
      <c r="M440" s="511"/>
      <c r="N440" s="511"/>
      <c r="O440" s="511"/>
      <c r="P440" s="511"/>
      <c r="Q440" s="511"/>
      <c r="R440" s="511"/>
      <c r="S440" s="511"/>
      <c r="T440" s="511"/>
      <c r="U440" s="511"/>
      <c r="V440" s="511"/>
      <c r="W440" s="511"/>
      <c r="X440" s="511"/>
      <c r="Y440" s="511"/>
    </row>
    <row r="441" spans="12:25" x14ac:dyDescent="0.2">
      <c r="L441" s="511"/>
      <c r="M441" s="511"/>
      <c r="N441" s="511"/>
      <c r="O441" s="511"/>
      <c r="P441" s="511"/>
      <c r="Q441" s="511"/>
      <c r="R441" s="511"/>
      <c r="S441" s="511"/>
      <c r="T441" s="511"/>
      <c r="U441" s="511"/>
      <c r="V441" s="511"/>
      <c r="W441" s="511"/>
      <c r="X441" s="511"/>
      <c r="Y441" s="511"/>
    </row>
    <row r="442" spans="12:25" x14ac:dyDescent="0.2">
      <c r="L442" s="511"/>
      <c r="M442" s="511"/>
      <c r="N442" s="511"/>
      <c r="O442" s="511"/>
      <c r="P442" s="511"/>
      <c r="Q442" s="511"/>
      <c r="R442" s="511"/>
      <c r="S442" s="511"/>
      <c r="T442" s="511"/>
      <c r="U442" s="511"/>
      <c r="V442" s="511"/>
      <c r="W442" s="511"/>
      <c r="X442" s="511"/>
      <c r="Y442" s="511"/>
    </row>
    <row r="443" spans="12:25" x14ac:dyDescent="0.2">
      <c r="L443" s="511"/>
      <c r="M443" s="511"/>
      <c r="N443" s="511"/>
      <c r="O443" s="511"/>
      <c r="P443" s="511"/>
      <c r="Q443" s="511"/>
      <c r="R443" s="511"/>
      <c r="S443" s="511"/>
      <c r="T443" s="511"/>
      <c r="U443" s="511"/>
      <c r="V443" s="511"/>
      <c r="W443" s="511"/>
      <c r="X443" s="511"/>
      <c r="Y443" s="511"/>
    </row>
    <row r="444" spans="12:25" x14ac:dyDescent="0.2">
      <c r="L444" s="511"/>
      <c r="M444" s="511"/>
      <c r="N444" s="511"/>
      <c r="O444" s="511"/>
      <c r="P444" s="511"/>
      <c r="Q444" s="511"/>
      <c r="R444" s="511"/>
      <c r="S444" s="511"/>
      <c r="T444" s="511"/>
      <c r="U444" s="511"/>
      <c r="V444" s="511"/>
      <c r="W444" s="511"/>
      <c r="X444" s="511"/>
      <c r="Y444" s="511"/>
    </row>
    <row r="445" spans="12:25" x14ac:dyDescent="0.2">
      <c r="L445" s="511"/>
      <c r="M445" s="511"/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</row>
    <row r="446" spans="12:25" x14ac:dyDescent="0.2">
      <c r="L446" s="511"/>
      <c r="M446" s="511"/>
      <c r="N446" s="511"/>
      <c r="O446" s="511"/>
      <c r="P446" s="511"/>
      <c r="Q446" s="511"/>
      <c r="R446" s="511"/>
      <c r="S446" s="511"/>
      <c r="T446" s="511"/>
      <c r="U446" s="511"/>
      <c r="V446" s="511"/>
      <c r="W446" s="511"/>
      <c r="X446" s="511"/>
      <c r="Y446" s="511"/>
    </row>
    <row r="447" spans="12:25" x14ac:dyDescent="0.2">
      <c r="L447" s="511"/>
      <c r="M447" s="511"/>
      <c r="N447" s="511"/>
      <c r="O447" s="511"/>
      <c r="P447" s="511"/>
      <c r="Q447" s="511"/>
      <c r="R447" s="511"/>
      <c r="S447" s="511"/>
      <c r="T447" s="511"/>
      <c r="U447" s="511"/>
      <c r="V447" s="511"/>
      <c r="W447" s="511"/>
      <c r="X447" s="511"/>
      <c r="Y447" s="511"/>
    </row>
    <row r="448" spans="12:25" x14ac:dyDescent="0.2">
      <c r="L448" s="511"/>
      <c r="M448" s="511"/>
      <c r="N448" s="511"/>
      <c r="O448" s="511"/>
      <c r="P448" s="511"/>
      <c r="Q448" s="511"/>
      <c r="R448" s="511"/>
      <c r="S448" s="511"/>
      <c r="T448" s="511"/>
      <c r="U448" s="511"/>
      <c r="V448" s="511"/>
      <c r="W448" s="511"/>
      <c r="X448" s="511"/>
      <c r="Y448" s="511"/>
    </row>
    <row r="449" spans="12:25" x14ac:dyDescent="0.2">
      <c r="L449" s="511"/>
      <c r="M449" s="511"/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</row>
    <row r="450" spans="12:25" x14ac:dyDescent="0.2">
      <c r="L450" s="511"/>
      <c r="M450" s="511"/>
      <c r="N450" s="511"/>
      <c r="O450" s="511"/>
      <c r="P450" s="511"/>
      <c r="Q450" s="511"/>
      <c r="R450" s="511"/>
      <c r="S450" s="511"/>
      <c r="T450" s="511"/>
      <c r="U450" s="511"/>
      <c r="V450" s="511"/>
      <c r="W450" s="511"/>
      <c r="X450" s="511"/>
      <c r="Y450" s="511"/>
    </row>
    <row r="451" spans="12:25" x14ac:dyDescent="0.2">
      <c r="Y451" s="511"/>
    </row>
    <row r="452" spans="12:25" x14ac:dyDescent="0.2">
      <c r="Y452" s="51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24-sep-2017</v>
      </c>
      <c r="E2" s="273" t="s">
        <v>363</v>
      </c>
      <c r="F2" s="846" t="str">
        <f>Txt_Pat_FullName</f>
        <v/>
      </c>
      <c r="G2" s="84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41541)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47">
        <f>_Ped_Ent_Opm</f>
        <v>0</v>
      </c>
      <c r="E12" s="848"/>
      <c r="F12" s="848"/>
      <c r="G12" s="848"/>
      <c r="H12" s="848"/>
      <c r="I12" s="848"/>
      <c r="J12" s="84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55" t="str">
        <f>TRIM(Txt_Ped_Lab_1)</f>
        <v/>
      </c>
      <c r="E15" s="856"/>
      <c r="F15" s="856"/>
      <c r="G15" s="856"/>
      <c r="H15" s="856"/>
      <c r="I15" s="856"/>
      <c r="J15" s="856"/>
      <c r="L15" s="276"/>
    </row>
    <row r="16" spans="1:12" ht="12.6" customHeight="1" x14ac:dyDescent="0.2">
      <c r="B16" s="275"/>
      <c r="C16" s="275" t="s">
        <v>358</v>
      </c>
      <c r="D16" s="853" t="str">
        <f>TRIM(Txt_Ped_Lab_2)</f>
        <v/>
      </c>
      <c r="E16" s="854"/>
      <c r="F16" s="854"/>
      <c r="G16" s="854"/>
      <c r="H16" s="854"/>
      <c r="I16" s="854"/>
      <c r="J16" s="854"/>
      <c r="L16" s="276"/>
    </row>
    <row r="17" spans="1:12" ht="12.6" customHeight="1" x14ac:dyDescent="0.2">
      <c r="B17" s="275"/>
      <c r="C17" s="275" t="s">
        <v>359</v>
      </c>
      <c r="D17" s="853" t="str">
        <f>TRIM(Txt_Ped_Lab_3)</f>
        <v/>
      </c>
      <c r="E17" s="857"/>
      <c r="F17" s="857"/>
      <c r="G17" s="857"/>
      <c r="H17" s="857"/>
      <c r="I17" s="857"/>
      <c r="J17" s="857"/>
      <c r="L17" s="276"/>
    </row>
    <row r="18" spans="1:12" ht="12.6" customHeight="1" x14ac:dyDescent="0.2">
      <c r="B18" s="275"/>
      <c r="C18" s="275" t="s">
        <v>111</v>
      </c>
      <c r="D18" s="853" t="str">
        <f>TRIM(Txt_Ped_Lab_4)</f>
        <v/>
      </c>
      <c r="E18" s="857"/>
      <c r="F18" s="857"/>
      <c r="G18" s="857"/>
      <c r="H18" s="857"/>
      <c r="I18" s="857"/>
      <c r="J18" s="857"/>
      <c r="L18" s="276"/>
    </row>
    <row r="19" spans="1:12" ht="12.6" customHeight="1" x14ac:dyDescent="0.2">
      <c r="B19" s="275"/>
      <c r="C19" s="285" t="s">
        <v>18</v>
      </c>
      <c r="D19" s="853" t="str">
        <f>TRIM(Txt_Ped_Lab_5)</f>
        <v/>
      </c>
      <c r="E19" s="858"/>
      <c r="F19" s="858"/>
      <c r="G19" s="858"/>
      <c r="H19" s="858"/>
      <c r="I19" s="858"/>
      <c r="J19" s="858"/>
      <c r="L19" s="276"/>
    </row>
    <row r="20" spans="1:12" ht="12.6" customHeight="1" x14ac:dyDescent="0.2">
      <c r="B20" s="275"/>
      <c r="C20" s="285" t="s">
        <v>225</v>
      </c>
      <c r="D20" s="849">
        <f>_Ped_Lab_Opm</f>
        <v>0</v>
      </c>
      <c r="E20" s="850"/>
      <c r="F20" s="850"/>
      <c r="G20" s="850"/>
      <c r="H20" s="850"/>
      <c r="I20" s="850"/>
      <c r="J20" s="850"/>
      <c r="L20" s="276"/>
    </row>
    <row r="21" spans="1:12" ht="12.6" customHeight="1" x14ac:dyDescent="0.2">
      <c r="A21" s="279"/>
      <c r="B21" s="284"/>
      <c r="C21" s="286"/>
      <c r="D21" s="851"/>
      <c r="E21" s="851"/>
      <c r="F21" s="851"/>
      <c r="G21" s="851"/>
      <c r="H21" s="851"/>
      <c r="I21" s="851"/>
      <c r="J21" s="85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24-sep-2017</v>
      </c>
      <c r="E34" s="273" t="s">
        <v>363</v>
      </c>
      <c r="F34" s="846" t="str">
        <f>Txt_Pat_FullName</f>
        <v/>
      </c>
      <c r="G34" s="84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41541)</v>
      </c>
      <c r="E35" s="273" t="s">
        <v>361</v>
      </c>
      <c r="F35" s="278" t="str">
        <f ca="1">Txt_Pat_GeboorteDat</f>
        <v/>
      </c>
      <c r="G35" s="565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65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47">
        <f>_Ped_Lijn_Opm</f>
        <v>0</v>
      </c>
      <c r="E46" s="848"/>
      <c r="F46" s="848"/>
      <c r="G46" s="848"/>
      <c r="H46" s="848"/>
      <c r="I46" s="848"/>
      <c r="J46" s="84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49">
        <f>_Ped_MedIV_Opm</f>
        <v>0</v>
      </c>
      <c r="E72" s="849"/>
      <c r="F72" s="849"/>
      <c r="G72" s="849"/>
      <c r="H72" s="849"/>
      <c r="I72" s="849"/>
      <c r="J72" s="849"/>
      <c r="L72" s="276"/>
    </row>
    <row r="73" spans="1:12" ht="12.6" customHeight="1" x14ac:dyDescent="0.2">
      <c r="D73" s="852"/>
      <c r="E73" s="852"/>
      <c r="F73" s="852"/>
      <c r="G73" s="852"/>
      <c r="H73" s="852"/>
      <c r="I73" s="852"/>
      <c r="J73" s="852"/>
      <c r="L73" s="276"/>
    </row>
    <row r="74" spans="1:12" ht="12.6" customHeight="1" x14ac:dyDescent="0.2">
      <c r="D74" s="566"/>
      <c r="E74" s="566"/>
      <c r="F74" s="566"/>
      <c r="G74" s="566"/>
      <c r="H74" s="566"/>
      <c r="I74" s="566"/>
      <c r="J74" s="566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24-sep-2017</v>
      </c>
      <c r="E75" s="273" t="s">
        <v>363</v>
      </c>
      <c r="F75" s="846" t="str">
        <f>Txt_Pat_FullName</f>
        <v/>
      </c>
      <c r="G75" s="846"/>
      <c r="H75" s="275" t="str">
        <f>Txt_Pat_Gewicht</f>
        <v>Gewicht:</v>
      </c>
      <c r="J75" s="565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41541)</v>
      </c>
      <c r="E76" s="273" t="s">
        <v>361</v>
      </c>
      <c r="F76" s="278" t="str">
        <f ca="1">Txt_Pat_GeboorteDat</f>
        <v/>
      </c>
      <c r="G76" s="565"/>
      <c r="H76" s="275" t="str">
        <f>Txt_Pat_Lengte</f>
        <v>Lengte:</v>
      </c>
      <c r="J76" s="565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65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47">
        <f>_Ped_TPN_Opm</f>
        <v>0</v>
      </c>
      <c r="E99" s="848"/>
      <c r="F99" s="848"/>
      <c r="G99" s="848"/>
      <c r="H99" s="848"/>
      <c r="I99" s="848"/>
      <c r="J99" s="84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73" customWidth="1"/>
    <col min="23" max="32" width="2.7109375" style="568" customWidth="1"/>
  </cols>
  <sheetData>
    <row r="1" spans="1:32" s="208" customFormat="1" x14ac:dyDescent="0.2">
      <c r="G1" s="573">
        <v>3</v>
      </c>
      <c r="H1" s="573">
        <v>4</v>
      </c>
      <c r="I1" s="573">
        <v>5</v>
      </c>
      <c r="J1" s="573">
        <v>6</v>
      </c>
      <c r="K1" s="573">
        <v>7</v>
      </c>
      <c r="L1" s="573">
        <v>8</v>
      </c>
      <c r="M1" s="573">
        <v>9</v>
      </c>
      <c r="N1" s="573">
        <v>10</v>
      </c>
      <c r="O1" s="573">
        <v>11</v>
      </c>
      <c r="P1" s="573">
        <v>12</v>
      </c>
      <c r="Q1" s="573">
        <v>13</v>
      </c>
      <c r="R1" s="573">
        <v>14</v>
      </c>
      <c r="S1" s="573">
        <v>15</v>
      </c>
      <c r="T1" s="573">
        <v>16</v>
      </c>
      <c r="U1" s="573">
        <v>17</v>
      </c>
      <c r="V1" s="573">
        <v>18</v>
      </c>
      <c r="W1" s="573">
        <v>19</v>
      </c>
      <c r="X1" s="573">
        <v>20</v>
      </c>
      <c r="Y1" s="573">
        <v>21</v>
      </c>
      <c r="Z1" s="573">
        <v>22</v>
      </c>
      <c r="AA1" s="573">
        <v>23</v>
      </c>
      <c r="AB1" s="573">
        <v>24</v>
      </c>
      <c r="AC1" s="573">
        <v>25</v>
      </c>
      <c r="AD1" s="573">
        <v>26</v>
      </c>
      <c r="AE1" s="573">
        <v>27</v>
      </c>
      <c r="AF1" s="573">
        <v>28</v>
      </c>
    </row>
    <row r="2" spans="1:32" ht="19.5" customHeight="1" thickBot="1" x14ac:dyDescent="0.25">
      <c r="A2" s="236"/>
      <c r="B2" t="str">
        <f>Txt_Pat_FullName</f>
        <v/>
      </c>
      <c r="E2" s="861" t="str">
        <f ca="1">Txt_Pat_GeboorteDat</f>
        <v/>
      </c>
      <c r="F2" s="861"/>
      <c r="G2" s="267" t="str">
        <f>Txt_Pat_Gewicht</f>
        <v>Gewicht:</v>
      </c>
      <c r="H2" s="574"/>
      <c r="O2" s="574" t="s">
        <v>138</v>
      </c>
      <c r="Q2" s="859"/>
      <c r="R2" s="859"/>
      <c r="S2" s="859"/>
      <c r="T2" s="859"/>
      <c r="U2" s="859"/>
      <c r="V2" s="859"/>
      <c r="X2" s="568" t="s">
        <v>235</v>
      </c>
      <c r="AA2" s="860">
        <f ca="1">TODAY()</f>
        <v>43002</v>
      </c>
      <c r="AB2" s="860"/>
      <c r="AC2" s="860"/>
      <c r="AD2" s="860"/>
      <c r="AE2" s="86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10</v>
      </c>
      <c r="H3" s="575">
        <v>11</v>
      </c>
      <c r="I3" s="575">
        <v>12</v>
      </c>
      <c r="J3" s="575">
        <v>13</v>
      </c>
      <c r="K3" s="575">
        <v>14</v>
      </c>
      <c r="L3" s="575">
        <v>15</v>
      </c>
      <c r="M3" s="575">
        <v>16</v>
      </c>
      <c r="N3" s="575">
        <v>17</v>
      </c>
      <c r="O3" s="575">
        <v>18</v>
      </c>
      <c r="P3" s="575">
        <v>19</v>
      </c>
      <c r="Q3" s="576">
        <v>20</v>
      </c>
      <c r="R3" s="576">
        <v>21</v>
      </c>
      <c r="S3" s="576">
        <v>22</v>
      </c>
      <c r="T3" s="576">
        <v>23</v>
      </c>
      <c r="U3" s="576">
        <v>24</v>
      </c>
      <c r="V3" s="576">
        <v>1</v>
      </c>
      <c r="W3" s="575">
        <v>2</v>
      </c>
      <c r="X3" s="575">
        <v>3</v>
      </c>
      <c r="Y3" s="575">
        <v>4</v>
      </c>
      <c r="Z3" s="575">
        <v>5</v>
      </c>
      <c r="AA3" s="575">
        <v>6</v>
      </c>
      <c r="AB3" s="575">
        <v>7</v>
      </c>
      <c r="AC3" s="575">
        <v>8</v>
      </c>
      <c r="AD3" s="577"/>
      <c r="AE3" s="577"/>
      <c r="AF3" s="577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Z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ref="AA4:AF13" si="2">IF($C4="","",IF(VLOOKUP($C4,Tbl_Glob_MedFreq,AA$1,FALSE)=0,"",VLOOKUP($C4,Tbl_Glob_MedFreq,AA$1,FALSE)))</f>
        <v/>
      </c>
      <c r="AB4" s="570" t="str">
        <f t="shared" si="2"/>
        <v/>
      </c>
      <c r="AC4" s="578" t="str">
        <f t="shared" si="2"/>
        <v/>
      </c>
      <c r="AD4" s="570" t="str">
        <f t="shared" si="2"/>
        <v/>
      </c>
      <c r="AE4" s="578" t="str">
        <f t="shared" si="2"/>
        <v/>
      </c>
      <c r="AF4" s="570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2"/>
        <v/>
      </c>
      <c r="AB5" s="570" t="str">
        <f t="shared" si="2"/>
        <v/>
      </c>
      <c r="AC5" s="578" t="str">
        <f t="shared" si="2"/>
        <v/>
      </c>
      <c r="AD5" s="570" t="str">
        <f t="shared" si="2"/>
        <v/>
      </c>
      <c r="AE5" s="578" t="str">
        <f t="shared" si="2"/>
        <v/>
      </c>
      <c r="AF5" s="570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2"/>
        <v/>
      </c>
      <c r="AB6" s="570" t="str">
        <f t="shared" si="2"/>
        <v/>
      </c>
      <c r="AC6" s="578" t="str">
        <f t="shared" si="2"/>
        <v/>
      </c>
      <c r="AD6" s="570" t="str">
        <f t="shared" si="2"/>
        <v/>
      </c>
      <c r="AE6" s="578" t="str">
        <f t="shared" si="2"/>
        <v/>
      </c>
      <c r="AF6" s="570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2"/>
        <v/>
      </c>
      <c r="AB7" s="570" t="str">
        <f t="shared" si="2"/>
        <v/>
      </c>
      <c r="AC7" s="578" t="str">
        <f t="shared" si="2"/>
        <v/>
      </c>
      <c r="AD7" s="570" t="str">
        <f t="shared" si="2"/>
        <v/>
      </c>
      <c r="AE7" s="578" t="str">
        <f t="shared" si="2"/>
        <v/>
      </c>
      <c r="AF7" s="570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2"/>
        <v/>
      </c>
      <c r="AB8" s="570" t="str">
        <f t="shared" si="2"/>
        <v/>
      </c>
      <c r="AC8" s="578" t="str">
        <f t="shared" si="2"/>
        <v/>
      </c>
      <c r="AD8" s="570" t="str">
        <f t="shared" si="2"/>
        <v/>
      </c>
      <c r="AE8" s="578" t="str">
        <f t="shared" si="2"/>
        <v/>
      </c>
      <c r="AF8" s="570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2"/>
        <v/>
      </c>
      <c r="AB9" s="570" t="str">
        <f t="shared" si="2"/>
        <v/>
      </c>
      <c r="AC9" s="578" t="str">
        <f t="shared" si="2"/>
        <v/>
      </c>
      <c r="AD9" s="570" t="str">
        <f t="shared" si="2"/>
        <v/>
      </c>
      <c r="AE9" s="578" t="str">
        <f t="shared" si="2"/>
        <v/>
      </c>
      <c r="AF9" s="570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2"/>
        <v/>
      </c>
      <c r="AB10" s="570" t="str">
        <f t="shared" si="2"/>
        <v/>
      </c>
      <c r="AC10" s="578" t="str">
        <f t="shared" si="2"/>
        <v/>
      </c>
      <c r="AD10" s="570" t="str">
        <f t="shared" si="2"/>
        <v/>
      </c>
      <c r="AE10" s="578" t="str">
        <f t="shared" si="2"/>
        <v/>
      </c>
      <c r="AF10" s="570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2"/>
        <v/>
      </c>
      <c r="AB11" s="570" t="str">
        <f t="shared" si="2"/>
        <v/>
      </c>
      <c r="AC11" s="578" t="str">
        <f t="shared" si="2"/>
        <v/>
      </c>
      <c r="AD11" s="570" t="str">
        <f t="shared" si="2"/>
        <v/>
      </c>
      <c r="AE11" s="578" t="str">
        <f t="shared" si="2"/>
        <v/>
      </c>
      <c r="AF11" s="570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2"/>
        <v/>
      </c>
      <c r="AB12" s="570" t="str">
        <f t="shared" si="2"/>
        <v/>
      </c>
      <c r="AC12" s="578" t="str">
        <f t="shared" si="2"/>
        <v/>
      </c>
      <c r="AD12" s="570" t="str">
        <f t="shared" si="2"/>
        <v/>
      </c>
      <c r="AE12" s="578" t="str">
        <f t="shared" si="2"/>
        <v/>
      </c>
      <c r="AF12" s="570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2"/>
        <v/>
      </c>
      <c r="AB13" s="570" t="str">
        <f t="shared" si="2"/>
        <v/>
      </c>
      <c r="AC13" s="578" t="str">
        <f t="shared" si="2"/>
        <v/>
      </c>
      <c r="AD13" s="570" t="str">
        <f t="shared" si="2"/>
        <v/>
      </c>
      <c r="AE13" s="578" t="str">
        <f t="shared" si="2"/>
        <v/>
      </c>
      <c r="AF13" s="570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3">IF($C14="","",IF(VLOOKUP($C14,Tbl_Glob_MedFreq,G$1,FALSE)=0,"",VLOOKUP($C14,Tbl_Glob_MedFreq,G$1,FALSE)))</f>
        <v/>
      </c>
      <c r="H14" s="570" t="str">
        <f t="shared" si="3"/>
        <v/>
      </c>
      <c r="I14" s="578" t="str">
        <f t="shared" si="3"/>
        <v/>
      </c>
      <c r="J14" s="570" t="str">
        <f t="shared" si="3"/>
        <v/>
      </c>
      <c r="K14" s="578" t="str">
        <f t="shared" si="3"/>
        <v/>
      </c>
      <c r="L14" s="570" t="str">
        <f t="shared" si="3"/>
        <v/>
      </c>
      <c r="M14" s="578" t="str">
        <f t="shared" si="3"/>
        <v/>
      </c>
      <c r="N14" s="570" t="str">
        <f t="shared" si="3"/>
        <v/>
      </c>
      <c r="O14" s="578" t="str">
        <f t="shared" si="3"/>
        <v/>
      </c>
      <c r="P14" s="570" t="str">
        <f t="shared" si="3"/>
        <v/>
      </c>
      <c r="Q14" s="578" t="str">
        <f t="shared" ref="Q14:Z24" si="4">IF($C14="","",IF(VLOOKUP($C14,Tbl_Glob_MedFreq,Q$1,FALSE)=0,"",VLOOKUP($C14,Tbl_Glob_MedFreq,Q$1,FALSE)))</f>
        <v/>
      </c>
      <c r="R14" s="570" t="str">
        <f t="shared" si="4"/>
        <v/>
      </c>
      <c r="S14" s="578" t="str">
        <f t="shared" si="4"/>
        <v/>
      </c>
      <c r="T14" s="570" t="str">
        <f t="shared" si="4"/>
        <v/>
      </c>
      <c r="U14" s="578" t="str">
        <f t="shared" si="4"/>
        <v/>
      </c>
      <c r="V14" s="570" t="str">
        <f t="shared" si="4"/>
        <v/>
      </c>
      <c r="W14" s="578" t="str">
        <f t="shared" si="4"/>
        <v/>
      </c>
      <c r="X14" s="570" t="str">
        <f t="shared" si="4"/>
        <v/>
      </c>
      <c r="Y14" s="578" t="str">
        <f t="shared" si="4"/>
        <v/>
      </c>
      <c r="Z14" s="570" t="str">
        <f t="shared" si="4"/>
        <v/>
      </c>
      <c r="AA14" s="578" t="str">
        <f t="shared" ref="AA14:AF24" si="5">IF($C14="","",IF(VLOOKUP($C14,Tbl_Glob_MedFreq,AA$1,FALSE)=0,"",VLOOKUP($C14,Tbl_Glob_MedFreq,AA$1,FALSE)))</f>
        <v/>
      </c>
      <c r="AB14" s="570" t="str">
        <f t="shared" si="5"/>
        <v/>
      </c>
      <c r="AC14" s="578" t="str">
        <f t="shared" si="5"/>
        <v/>
      </c>
      <c r="AD14" s="570" t="str">
        <f t="shared" si="5"/>
        <v/>
      </c>
      <c r="AE14" s="578" t="str">
        <f t="shared" si="5"/>
        <v/>
      </c>
      <c r="AF14" s="570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3"/>
        <v/>
      </c>
      <c r="H15" s="570" t="str">
        <f t="shared" si="3"/>
        <v/>
      </c>
      <c r="I15" s="578" t="str">
        <f t="shared" si="3"/>
        <v/>
      </c>
      <c r="J15" s="570" t="str">
        <f t="shared" si="3"/>
        <v/>
      </c>
      <c r="K15" s="578" t="str">
        <f t="shared" si="3"/>
        <v/>
      </c>
      <c r="L15" s="570" t="str">
        <f t="shared" si="3"/>
        <v/>
      </c>
      <c r="M15" s="578" t="str">
        <f t="shared" si="3"/>
        <v/>
      </c>
      <c r="N15" s="570" t="str">
        <f t="shared" si="3"/>
        <v/>
      </c>
      <c r="O15" s="578" t="str">
        <f t="shared" si="3"/>
        <v/>
      </c>
      <c r="P15" s="570" t="str">
        <f t="shared" si="3"/>
        <v/>
      </c>
      <c r="Q15" s="578" t="str">
        <f t="shared" si="4"/>
        <v/>
      </c>
      <c r="R15" s="570" t="str">
        <f t="shared" si="4"/>
        <v/>
      </c>
      <c r="S15" s="578" t="str">
        <f t="shared" si="4"/>
        <v/>
      </c>
      <c r="T15" s="570" t="str">
        <f t="shared" si="4"/>
        <v/>
      </c>
      <c r="U15" s="578" t="str">
        <f t="shared" si="4"/>
        <v/>
      </c>
      <c r="V15" s="570" t="str">
        <f t="shared" si="4"/>
        <v/>
      </c>
      <c r="W15" s="578" t="str">
        <f t="shared" si="4"/>
        <v/>
      </c>
      <c r="X15" s="570" t="str">
        <f t="shared" si="4"/>
        <v/>
      </c>
      <c r="Y15" s="578" t="str">
        <f t="shared" si="4"/>
        <v/>
      </c>
      <c r="Z15" s="570" t="str">
        <f t="shared" si="4"/>
        <v/>
      </c>
      <c r="AA15" s="578" t="str">
        <f t="shared" si="5"/>
        <v/>
      </c>
      <c r="AB15" s="570" t="str">
        <f t="shared" si="5"/>
        <v/>
      </c>
      <c r="AC15" s="578" t="str">
        <f t="shared" si="5"/>
        <v/>
      </c>
      <c r="AD15" s="570" t="str">
        <f t="shared" si="5"/>
        <v/>
      </c>
      <c r="AE15" s="578" t="str">
        <f t="shared" si="5"/>
        <v/>
      </c>
      <c r="AF15" s="570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3"/>
        <v/>
      </c>
      <c r="H16" s="570" t="str">
        <f t="shared" si="3"/>
        <v/>
      </c>
      <c r="I16" s="578" t="str">
        <f t="shared" si="3"/>
        <v/>
      </c>
      <c r="J16" s="570" t="str">
        <f t="shared" si="3"/>
        <v/>
      </c>
      <c r="K16" s="578" t="str">
        <f t="shared" si="3"/>
        <v/>
      </c>
      <c r="L16" s="570" t="str">
        <f t="shared" si="3"/>
        <v/>
      </c>
      <c r="M16" s="578" t="str">
        <f t="shared" si="3"/>
        <v/>
      </c>
      <c r="N16" s="570" t="str">
        <f t="shared" si="3"/>
        <v/>
      </c>
      <c r="O16" s="578" t="str">
        <f t="shared" si="3"/>
        <v/>
      </c>
      <c r="P16" s="570" t="str">
        <f t="shared" si="3"/>
        <v/>
      </c>
      <c r="Q16" s="578" t="str">
        <f t="shared" si="4"/>
        <v/>
      </c>
      <c r="R16" s="570" t="str">
        <f t="shared" si="4"/>
        <v/>
      </c>
      <c r="S16" s="578" t="str">
        <f t="shared" si="4"/>
        <v/>
      </c>
      <c r="T16" s="570" t="str">
        <f t="shared" si="4"/>
        <v/>
      </c>
      <c r="U16" s="578" t="str">
        <f t="shared" si="4"/>
        <v/>
      </c>
      <c r="V16" s="570" t="str">
        <f t="shared" si="4"/>
        <v/>
      </c>
      <c r="W16" s="578" t="str">
        <f t="shared" si="4"/>
        <v/>
      </c>
      <c r="X16" s="570" t="str">
        <f t="shared" si="4"/>
        <v/>
      </c>
      <c r="Y16" s="578" t="str">
        <f t="shared" si="4"/>
        <v/>
      </c>
      <c r="Z16" s="570" t="str">
        <f t="shared" si="4"/>
        <v/>
      </c>
      <c r="AA16" s="578" t="str">
        <f t="shared" si="5"/>
        <v/>
      </c>
      <c r="AB16" s="570" t="str">
        <f t="shared" si="5"/>
        <v/>
      </c>
      <c r="AC16" s="578" t="str">
        <f t="shared" si="5"/>
        <v/>
      </c>
      <c r="AD16" s="570" t="str">
        <f t="shared" si="5"/>
        <v/>
      </c>
      <c r="AE16" s="578" t="str">
        <f t="shared" si="5"/>
        <v/>
      </c>
      <c r="AF16" s="570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3"/>
        <v/>
      </c>
      <c r="H17" s="570" t="str">
        <f t="shared" si="3"/>
        <v/>
      </c>
      <c r="I17" s="578" t="str">
        <f t="shared" si="3"/>
        <v/>
      </c>
      <c r="J17" s="570" t="str">
        <f t="shared" si="3"/>
        <v/>
      </c>
      <c r="K17" s="578" t="str">
        <f t="shared" si="3"/>
        <v/>
      </c>
      <c r="L17" s="570" t="str">
        <f t="shared" si="3"/>
        <v/>
      </c>
      <c r="M17" s="578" t="str">
        <f t="shared" si="3"/>
        <v/>
      </c>
      <c r="N17" s="570" t="str">
        <f t="shared" si="3"/>
        <v/>
      </c>
      <c r="O17" s="578" t="str">
        <f t="shared" si="3"/>
        <v/>
      </c>
      <c r="P17" s="570" t="str">
        <f t="shared" si="3"/>
        <v/>
      </c>
      <c r="Q17" s="578" t="str">
        <f t="shared" si="4"/>
        <v/>
      </c>
      <c r="R17" s="570" t="str">
        <f t="shared" si="4"/>
        <v/>
      </c>
      <c r="S17" s="578" t="str">
        <f t="shared" si="4"/>
        <v/>
      </c>
      <c r="T17" s="570" t="str">
        <f t="shared" si="4"/>
        <v/>
      </c>
      <c r="U17" s="578" t="str">
        <f t="shared" si="4"/>
        <v/>
      </c>
      <c r="V17" s="570" t="str">
        <f t="shared" si="4"/>
        <v/>
      </c>
      <c r="W17" s="578" t="str">
        <f t="shared" si="4"/>
        <v/>
      </c>
      <c r="X17" s="570" t="str">
        <f t="shared" si="4"/>
        <v/>
      </c>
      <c r="Y17" s="578" t="str">
        <f t="shared" si="4"/>
        <v/>
      </c>
      <c r="Z17" s="570" t="str">
        <f t="shared" si="4"/>
        <v/>
      </c>
      <c r="AA17" s="578" t="str">
        <f t="shared" si="5"/>
        <v/>
      </c>
      <c r="AB17" s="570" t="str">
        <f t="shared" si="5"/>
        <v/>
      </c>
      <c r="AC17" s="578" t="str">
        <f t="shared" si="5"/>
        <v/>
      </c>
      <c r="AD17" s="570" t="str">
        <f t="shared" si="5"/>
        <v/>
      </c>
      <c r="AE17" s="578" t="str">
        <f t="shared" si="5"/>
        <v/>
      </c>
      <c r="AF17" s="570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3"/>
        <v/>
      </c>
      <c r="H18" s="570" t="str">
        <f t="shared" si="3"/>
        <v/>
      </c>
      <c r="I18" s="578" t="str">
        <f t="shared" si="3"/>
        <v/>
      </c>
      <c r="J18" s="570" t="str">
        <f t="shared" si="3"/>
        <v/>
      </c>
      <c r="K18" s="578" t="str">
        <f t="shared" si="3"/>
        <v/>
      </c>
      <c r="L18" s="570" t="str">
        <f t="shared" si="3"/>
        <v/>
      </c>
      <c r="M18" s="578" t="str">
        <f t="shared" si="3"/>
        <v/>
      </c>
      <c r="N18" s="570" t="str">
        <f t="shared" si="3"/>
        <v/>
      </c>
      <c r="O18" s="578" t="str">
        <f t="shared" si="3"/>
        <v/>
      </c>
      <c r="P18" s="570" t="str">
        <f t="shared" si="3"/>
        <v/>
      </c>
      <c r="Q18" s="578" t="str">
        <f t="shared" si="4"/>
        <v/>
      </c>
      <c r="R18" s="570" t="str">
        <f t="shared" si="4"/>
        <v/>
      </c>
      <c r="S18" s="578" t="str">
        <f t="shared" si="4"/>
        <v/>
      </c>
      <c r="T18" s="570" t="str">
        <f t="shared" si="4"/>
        <v/>
      </c>
      <c r="U18" s="578" t="str">
        <f t="shared" si="4"/>
        <v/>
      </c>
      <c r="V18" s="570" t="str">
        <f t="shared" si="4"/>
        <v/>
      </c>
      <c r="W18" s="578" t="str">
        <f t="shared" si="4"/>
        <v/>
      </c>
      <c r="X18" s="570" t="str">
        <f t="shared" si="4"/>
        <v/>
      </c>
      <c r="Y18" s="578" t="str">
        <f t="shared" si="4"/>
        <v/>
      </c>
      <c r="Z18" s="570" t="str">
        <f t="shared" si="4"/>
        <v/>
      </c>
      <c r="AA18" s="578" t="str">
        <f t="shared" si="5"/>
        <v/>
      </c>
      <c r="AB18" s="570" t="str">
        <f t="shared" si="5"/>
        <v/>
      </c>
      <c r="AC18" s="578" t="str">
        <f t="shared" si="5"/>
        <v/>
      </c>
      <c r="AD18" s="570" t="str">
        <f t="shared" si="5"/>
        <v/>
      </c>
      <c r="AE18" s="578" t="str">
        <f t="shared" si="5"/>
        <v/>
      </c>
      <c r="AF18" s="570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3"/>
        <v/>
      </c>
      <c r="H19" s="570" t="str">
        <f t="shared" si="3"/>
        <v/>
      </c>
      <c r="I19" s="578" t="str">
        <f t="shared" si="3"/>
        <v/>
      </c>
      <c r="J19" s="570" t="str">
        <f t="shared" si="3"/>
        <v/>
      </c>
      <c r="K19" s="578" t="str">
        <f t="shared" si="3"/>
        <v/>
      </c>
      <c r="L19" s="570" t="str">
        <f t="shared" si="3"/>
        <v/>
      </c>
      <c r="M19" s="578" t="str">
        <f t="shared" si="3"/>
        <v/>
      </c>
      <c r="N19" s="570" t="str">
        <f t="shared" si="3"/>
        <v/>
      </c>
      <c r="O19" s="578" t="str">
        <f t="shared" si="3"/>
        <v/>
      </c>
      <c r="P19" s="570" t="str">
        <f t="shared" si="3"/>
        <v/>
      </c>
      <c r="Q19" s="578" t="str">
        <f t="shared" si="4"/>
        <v/>
      </c>
      <c r="R19" s="570" t="str">
        <f t="shared" si="4"/>
        <v/>
      </c>
      <c r="S19" s="578" t="str">
        <f t="shared" si="4"/>
        <v/>
      </c>
      <c r="T19" s="570" t="str">
        <f t="shared" si="4"/>
        <v/>
      </c>
      <c r="U19" s="578" t="str">
        <f t="shared" si="4"/>
        <v/>
      </c>
      <c r="V19" s="570" t="str">
        <f t="shared" si="4"/>
        <v/>
      </c>
      <c r="W19" s="578" t="str">
        <f t="shared" si="4"/>
        <v/>
      </c>
      <c r="X19" s="570" t="str">
        <f t="shared" si="4"/>
        <v/>
      </c>
      <c r="Y19" s="578" t="str">
        <f t="shared" si="4"/>
        <v/>
      </c>
      <c r="Z19" s="570" t="str">
        <f t="shared" si="4"/>
        <v/>
      </c>
      <c r="AA19" s="578" t="str">
        <f t="shared" si="5"/>
        <v/>
      </c>
      <c r="AB19" s="570" t="str">
        <f t="shared" si="5"/>
        <v/>
      </c>
      <c r="AC19" s="578" t="str">
        <f t="shared" si="5"/>
        <v/>
      </c>
      <c r="AD19" s="570" t="str">
        <f t="shared" si="5"/>
        <v/>
      </c>
      <c r="AE19" s="578" t="str">
        <f t="shared" si="5"/>
        <v/>
      </c>
      <c r="AF19" s="570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3"/>
        <v/>
      </c>
      <c r="H20" s="570" t="str">
        <f t="shared" si="3"/>
        <v/>
      </c>
      <c r="I20" s="578" t="str">
        <f t="shared" si="3"/>
        <v/>
      </c>
      <c r="J20" s="570" t="str">
        <f t="shared" si="3"/>
        <v/>
      </c>
      <c r="K20" s="578" t="str">
        <f t="shared" si="3"/>
        <v/>
      </c>
      <c r="L20" s="570" t="str">
        <f t="shared" si="3"/>
        <v/>
      </c>
      <c r="M20" s="578" t="str">
        <f t="shared" si="3"/>
        <v/>
      </c>
      <c r="N20" s="570" t="str">
        <f t="shared" si="3"/>
        <v/>
      </c>
      <c r="O20" s="578" t="str">
        <f t="shared" si="3"/>
        <v/>
      </c>
      <c r="P20" s="570" t="str">
        <f t="shared" si="3"/>
        <v/>
      </c>
      <c r="Q20" s="578" t="str">
        <f t="shared" si="4"/>
        <v/>
      </c>
      <c r="R20" s="570" t="str">
        <f t="shared" si="4"/>
        <v/>
      </c>
      <c r="S20" s="578" t="str">
        <f t="shared" si="4"/>
        <v/>
      </c>
      <c r="T20" s="570" t="str">
        <f t="shared" si="4"/>
        <v/>
      </c>
      <c r="U20" s="578" t="str">
        <f t="shared" si="4"/>
        <v/>
      </c>
      <c r="V20" s="570" t="str">
        <f t="shared" si="4"/>
        <v/>
      </c>
      <c r="W20" s="578" t="str">
        <f t="shared" si="4"/>
        <v/>
      </c>
      <c r="X20" s="570" t="str">
        <f t="shared" si="4"/>
        <v/>
      </c>
      <c r="Y20" s="578" t="str">
        <f t="shared" si="4"/>
        <v/>
      </c>
      <c r="Z20" s="570" t="str">
        <f t="shared" si="4"/>
        <v/>
      </c>
      <c r="AA20" s="578" t="str">
        <f t="shared" si="5"/>
        <v/>
      </c>
      <c r="AB20" s="570" t="str">
        <f t="shared" si="5"/>
        <v/>
      </c>
      <c r="AC20" s="578" t="str">
        <f t="shared" si="5"/>
        <v/>
      </c>
      <c r="AD20" s="570" t="str">
        <f t="shared" si="5"/>
        <v/>
      </c>
      <c r="AE20" s="578" t="str">
        <f t="shared" si="5"/>
        <v/>
      </c>
      <c r="AF20" s="570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3"/>
        <v/>
      </c>
      <c r="H21" s="570" t="str">
        <f t="shared" si="3"/>
        <v/>
      </c>
      <c r="I21" s="578" t="str">
        <f t="shared" si="3"/>
        <v/>
      </c>
      <c r="J21" s="570" t="str">
        <f t="shared" si="3"/>
        <v/>
      </c>
      <c r="K21" s="578" t="str">
        <f t="shared" si="3"/>
        <v/>
      </c>
      <c r="L21" s="570" t="str">
        <f t="shared" si="3"/>
        <v/>
      </c>
      <c r="M21" s="578" t="str">
        <f t="shared" si="3"/>
        <v/>
      </c>
      <c r="N21" s="570" t="str">
        <f t="shared" si="3"/>
        <v/>
      </c>
      <c r="O21" s="578" t="str">
        <f t="shared" si="3"/>
        <v/>
      </c>
      <c r="P21" s="570" t="str">
        <f t="shared" si="3"/>
        <v/>
      </c>
      <c r="Q21" s="578" t="str">
        <f t="shared" si="4"/>
        <v/>
      </c>
      <c r="R21" s="570" t="str">
        <f t="shared" si="4"/>
        <v/>
      </c>
      <c r="S21" s="578" t="str">
        <f t="shared" si="4"/>
        <v/>
      </c>
      <c r="T21" s="570" t="str">
        <f t="shared" si="4"/>
        <v/>
      </c>
      <c r="U21" s="578" t="str">
        <f t="shared" si="4"/>
        <v/>
      </c>
      <c r="V21" s="570" t="str">
        <f t="shared" si="4"/>
        <v/>
      </c>
      <c r="W21" s="578" t="str">
        <f t="shared" si="4"/>
        <v/>
      </c>
      <c r="X21" s="570" t="str">
        <f t="shared" si="4"/>
        <v/>
      </c>
      <c r="Y21" s="578" t="str">
        <f t="shared" si="4"/>
        <v/>
      </c>
      <c r="Z21" s="570" t="str">
        <f t="shared" si="4"/>
        <v/>
      </c>
      <c r="AA21" s="578" t="str">
        <f t="shared" si="5"/>
        <v/>
      </c>
      <c r="AB21" s="570" t="str">
        <f t="shared" si="5"/>
        <v/>
      </c>
      <c r="AC21" s="578" t="str">
        <f t="shared" si="5"/>
        <v/>
      </c>
      <c r="AD21" s="570" t="str">
        <f t="shared" si="5"/>
        <v/>
      </c>
      <c r="AE21" s="578" t="str">
        <f t="shared" si="5"/>
        <v/>
      </c>
      <c r="AF21" s="570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3"/>
        <v/>
      </c>
      <c r="H22" s="570" t="str">
        <f t="shared" si="3"/>
        <v/>
      </c>
      <c r="I22" s="578" t="str">
        <f t="shared" si="3"/>
        <v/>
      </c>
      <c r="J22" s="570" t="str">
        <f t="shared" si="3"/>
        <v/>
      </c>
      <c r="K22" s="578" t="str">
        <f t="shared" si="3"/>
        <v/>
      </c>
      <c r="L22" s="570" t="str">
        <f t="shared" si="3"/>
        <v/>
      </c>
      <c r="M22" s="578" t="str">
        <f t="shared" si="3"/>
        <v/>
      </c>
      <c r="N22" s="570" t="str">
        <f t="shared" si="3"/>
        <v/>
      </c>
      <c r="O22" s="578" t="str">
        <f t="shared" si="3"/>
        <v/>
      </c>
      <c r="P22" s="570" t="str">
        <f t="shared" si="3"/>
        <v/>
      </c>
      <c r="Q22" s="578" t="str">
        <f t="shared" si="4"/>
        <v/>
      </c>
      <c r="R22" s="570" t="str">
        <f t="shared" si="4"/>
        <v/>
      </c>
      <c r="S22" s="578" t="str">
        <f t="shared" si="4"/>
        <v/>
      </c>
      <c r="T22" s="570" t="str">
        <f t="shared" si="4"/>
        <v/>
      </c>
      <c r="U22" s="578" t="str">
        <f t="shared" si="4"/>
        <v/>
      </c>
      <c r="V22" s="570" t="str">
        <f t="shared" si="4"/>
        <v/>
      </c>
      <c r="W22" s="578" t="str">
        <f t="shared" si="4"/>
        <v/>
      </c>
      <c r="X22" s="570" t="str">
        <f t="shared" si="4"/>
        <v/>
      </c>
      <c r="Y22" s="578" t="str">
        <f t="shared" si="4"/>
        <v/>
      </c>
      <c r="Z22" s="570" t="str">
        <f t="shared" si="4"/>
        <v/>
      </c>
      <c r="AA22" s="578" t="str">
        <f t="shared" si="5"/>
        <v/>
      </c>
      <c r="AB22" s="570" t="str">
        <f t="shared" si="5"/>
        <v/>
      </c>
      <c r="AC22" s="578" t="str">
        <f t="shared" si="5"/>
        <v/>
      </c>
      <c r="AD22" s="570" t="str">
        <f t="shared" si="5"/>
        <v/>
      </c>
      <c r="AE22" s="578" t="str">
        <f t="shared" si="5"/>
        <v/>
      </c>
      <c r="AF22" s="570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3"/>
        <v/>
      </c>
      <c r="H23" s="570" t="str">
        <f t="shared" si="3"/>
        <v/>
      </c>
      <c r="I23" s="578" t="str">
        <f t="shared" si="3"/>
        <v/>
      </c>
      <c r="J23" s="570" t="str">
        <f t="shared" si="3"/>
        <v/>
      </c>
      <c r="K23" s="578" t="str">
        <f t="shared" si="3"/>
        <v/>
      </c>
      <c r="L23" s="570" t="str">
        <f t="shared" si="3"/>
        <v/>
      </c>
      <c r="M23" s="578" t="str">
        <f t="shared" si="3"/>
        <v/>
      </c>
      <c r="N23" s="570" t="str">
        <f t="shared" si="3"/>
        <v/>
      </c>
      <c r="O23" s="578" t="str">
        <f t="shared" si="3"/>
        <v/>
      </c>
      <c r="P23" s="570" t="str">
        <f t="shared" si="3"/>
        <v/>
      </c>
      <c r="Q23" s="578" t="str">
        <f t="shared" si="4"/>
        <v/>
      </c>
      <c r="R23" s="570" t="str">
        <f t="shared" si="4"/>
        <v/>
      </c>
      <c r="S23" s="578" t="str">
        <f t="shared" si="4"/>
        <v/>
      </c>
      <c r="T23" s="570" t="str">
        <f t="shared" si="4"/>
        <v/>
      </c>
      <c r="U23" s="578" t="str">
        <f t="shared" si="4"/>
        <v/>
      </c>
      <c r="V23" s="570" t="str">
        <f t="shared" si="4"/>
        <v/>
      </c>
      <c r="W23" s="578" t="str">
        <f t="shared" si="4"/>
        <v/>
      </c>
      <c r="X23" s="570" t="str">
        <f t="shared" si="4"/>
        <v/>
      </c>
      <c r="Y23" s="578" t="str">
        <f t="shared" si="4"/>
        <v/>
      </c>
      <c r="Z23" s="570" t="str">
        <f t="shared" si="4"/>
        <v/>
      </c>
      <c r="AA23" s="578" t="str">
        <f t="shared" si="5"/>
        <v/>
      </c>
      <c r="AB23" s="570" t="str">
        <f t="shared" si="5"/>
        <v/>
      </c>
      <c r="AC23" s="578" t="str">
        <f t="shared" si="5"/>
        <v/>
      </c>
      <c r="AD23" s="570" t="str">
        <f t="shared" si="5"/>
        <v/>
      </c>
      <c r="AE23" s="578" t="str">
        <f t="shared" si="5"/>
        <v/>
      </c>
      <c r="AF23" s="570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3"/>
        <v/>
      </c>
      <c r="H24" s="570" t="str">
        <f t="shared" si="3"/>
        <v/>
      </c>
      <c r="I24" s="578" t="str">
        <f t="shared" si="3"/>
        <v/>
      </c>
      <c r="J24" s="570" t="str">
        <f t="shared" si="3"/>
        <v/>
      </c>
      <c r="K24" s="578" t="str">
        <f t="shared" si="3"/>
        <v/>
      </c>
      <c r="L24" s="570" t="str">
        <f t="shared" si="3"/>
        <v/>
      </c>
      <c r="M24" s="578" t="str">
        <f t="shared" si="3"/>
        <v/>
      </c>
      <c r="N24" s="570" t="str">
        <f t="shared" si="3"/>
        <v/>
      </c>
      <c r="O24" s="578" t="str">
        <f t="shared" si="3"/>
        <v/>
      </c>
      <c r="P24" s="570" t="str">
        <f t="shared" si="3"/>
        <v/>
      </c>
      <c r="Q24" s="578" t="str">
        <f t="shared" si="4"/>
        <v/>
      </c>
      <c r="R24" s="570" t="str">
        <f t="shared" si="4"/>
        <v/>
      </c>
      <c r="S24" s="578" t="str">
        <f t="shared" si="4"/>
        <v/>
      </c>
      <c r="T24" s="570" t="str">
        <f t="shared" si="4"/>
        <v/>
      </c>
      <c r="U24" s="578" t="str">
        <f t="shared" si="4"/>
        <v/>
      </c>
      <c r="V24" s="570" t="str">
        <f t="shared" si="4"/>
        <v/>
      </c>
      <c r="W24" s="578" t="str">
        <f t="shared" si="4"/>
        <v/>
      </c>
      <c r="X24" s="570" t="str">
        <f t="shared" si="4"/>
        <v/>
      </c>
      <c r="Y24" s="578" t="str">
        <f t="shared" si="4"/>
        <v/>
      </c>
      <c r="Z24" s="570" t="str">
        <f t="shared" si="4"/>
        <v/>
      </c>
      <c r="AA24" s="578" t="str">
        <f t="shared" si="5"/>
        <v/>
      </c>
      <c r="AB24" s="570" t="str">
        <f t="shared" si="5"/>
        <v/>
      </c>
      <c r="AC24" s="578" t="str">
        <f t="shared" si="5"/>
        <v/>
      </c>
      <c r="AD24" s="570" t="str">
        <f t="shared" si="5"/>
        <v/>
      </c>
      <c r="AE24" s="578" t="str">
        <f t="shared" si="5"/>
        <v/>
      </c>
      <c r="AF24" s="570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2">
        <f ca="1">TODAY()</f>
        <v>43002</v>
      </c>
      <c r="AB25" s="862"/>
      <c r="AC25" s="862"/>
      <c r="AD25" s="86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10</v>
      </c>
      <c r="H26" s="575">
        <v>11</v>
      </c>
      <c r="I26" s="575">
        <v>12</v>
      </c>
      <c r="J26" s="575">
        <v>13</v>
      </c>
      <c r="K26" s="575">
        <v>14</v>
      </c>
      <c r="L26" s="575">
        <v>15</v>
      </c>
      <c r="M26" s="575">
        <v>16</v>
      </c>
      <c r="N26" s="575">
        <v>17</v>
      </c>
      <c r="O26" s="575">
        <v>18</v>
      </c>
      <c r="P26" s="575">
        <v>19</v>
      </c>
      <c r="Q26" s="576">
        <v>20</v>
      </c>
      <c r="R26" s="576">
        <v>21</v>
      </c>
      <c r="S26" s="576">
        <v>22</v>
      </c>
      <c r="T26" s="576">
        <v>23</v>
      </c>
      <c r="U26" s="576">
        <v>24</v>
      </c>
      <c r="V26" s="576">
        <v>1</v>
      </c>
      <c r="W26" s="575">
        <v>2</v>
      </c>
      <c r="X26" s="575">
        <v>3</v>
      </c>
      <c r="Y26" s="575">
        <v>4</v>
      </c>
      <c r="Z26" s="575">
        <v>5</v>
      </c>
      <c r="AA26" s="575">
        <v>6</v>
      </c>
      <c r="AB26" s="575">
        <v>7</v>
      </c>
      <c r="AC26" s="575">
        <v>8</v>
      </c>
      <c r="AD26" s="577"/>
      <c r="AE26" s="577"/>
      <c r="AF26" s="577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6">IF($C27="","",IF(VLOOKUP($C27,Tbl_Glob_MedFreq,G$1,FALSE)=0,"",VLOOKUP($C27,Tbl_Glob_MedFreq,G$1,FALSE)))</f>
        <v/>
      </c>
      <c r="H27" s="570" t="str">
        <f t="shared" si="6"/>
        <v/>
      </c>
      <c r="I27" s="578" t="str">
        <f t="shared" si="6"/>
        <v/>
      </c>
      <c r="J27" s="570" t="str">
        <f t="shared" si="6"/>
        <v/>
      </c>
      <c r="K27" s="578" t="str">
        <f t="shared" si="6"/>
        <v/>
      </c>
      <c r="L27" s="570" t="str">
        <f t="shared" si="6"/>
        <v/>
      </c>
      <c r="M27" s="578" t="str">
        <f t="shared" si="6"/>
        <v/>
      </c>
      <c r="N27" s="570" t="str">
        <f t="shared" si="6"/>
        <v/>
      </c>
      <c r="O27" s="578" t="str">
        <f t="shared" si="6"/>
        <v/>
      </c>
      <c r="P27" s="570" t="str">
        <f t="shared" si="6"/>
        <v/>
      </c>
      <c r="Q27" s="578" t="str">
        <f t="shared" ref="Q27:Z35" si="7">IF($C27="","",IF(VLOOKUP($C27,Tbl_Glob_MedFreq,Q$1,FALSE)=0,"",VLOOKUP($C27,Tbl_Glob_MedFreq,Q$1,FALSE)))</f>
        <v/>
      </c>
      <c r="R27" s="570" t="str">
        <f t="shared" si="7"/>
        <v/>
      </c>
      <c r="S27" s="578" t="str">
        <f t="shared" si="7"/>
        <v/>
      </c>
      <c r="T27" s="570" t="str">
        <f t="shared" si="7"/>
        <v/>
      </c>
      <c r="U27" s="578" t="str">
        <f t="shared" si="7"/>
        <v/>
      </c>
      <c r="V27" s="570" t="str">
        <f t="shared" si="7"/>
        <v/>
      </c>
      <c r="W27" s="578" t="str">
        <f t="shared" si="7"/>
        <v/>
      </c>
      <c r="X27" s="570" t="str">
        <f t="shared" si="7"/>
        <v/>
      </c>
      <c r="Y27" s="578" t="str">
        <f t="shared" si="7"/>
        <v/>
      </c>
      <c r="Z27" s="570" t="str">
        <f t="shared" si="7"/>
        <v/>
      </c>
      <c r="AA27" s="578" t="str">
        <f t="shared" ref="AA27:AF35" si="8">IF($C27="","",IF(VLOOKUP($C27,Tbl_Glob_MedFreq,AA$1,FALSE)=0,"",VLOOKUP($C27,Tbl_Glob_MedFreq,AA$1,FALSE)))</f>
        <v/>
      </c>
      <c r="AB27" s="570" t="str">
        <f t="shared" si="8"/>
        <v/>
      </c>
      <c r="AC27" s="578" t="str">
        <f t="shared" si="8"/>
        <v/>
      </c>
      <c r="AD27" s="570" t="str">
        <f t="shared" si="8"/>
        <v/>
      </c>
      <c r="AE27" s="578" t="str">
        <f t="shared" si="8"/>
        <v/>
      </c>
      <c r="AF27" s="570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6"/>
        <v/>
      </c>
      <c r="H28" s="570" t="str">
        <f t="shared" si="6"/>
        <v/>
      </c>
      <c r="I28" s="578" t="str">
        <f t="shared" si="6"/>
        <v/>
      </c>
      <c r="J28" s="570" t="str">
        <f t="shared" si="6"/>
        <v/>
      </c>
      <c r="K28" s="578" t="str">
        <f t="shared" si="6"/>
        <v/>
      </c>
      <c r="L28" s="570" t="str">
        <f t="shared" si="6"/>
        <v/>
      </c>
      <c r="M28" s="578" t="str">
        <f t="shared" si="6"/>
        <v/>
      </c>
      <c r="N28" s="570" t="str">
        <f t="shared" si="6"/>
        <v/>
      </c>
      <c r="O28" s="578" t="str">
        <f t="shared" si="6"/>
        <v/>
      </c>
      <c r="P28" s="570" t="str">
        <f t="shared" si="6"/>
        <v/>
      </c>
      <c r="Q28" s="578" t="str">
        <f t="shared" si="7"/>
        <v/>
      </c>
      <c r="R28" s="570" t="str">
        <f t="shared" si="7"/>
        <v/>
      </c>
      <c r="S28" s="578" t="str">
        <f t="shared" si="7"/>
        <v/>
      </c>
      <c r="T28" s="570" t="str">
        <f t="shared" si="7"/>
        <v/>
      </c>
      <c r="U28" s="578" t="str">
        <f t="shared" si="7"/>
        <v/>
      </c>
      <c r="V28" s="570" t="str">
        <f t="shared" si="7"/>
        <v/>
      </c>
      <c r="W28" s="578" t="str">
        <f t="shared" si="7"/>
        <v/>
      </c>
      <c r="X28" s="570" t="str">
        <f t="shared" si="7"/>
        <v/>
      </c>
      <c r="Y28" s="578" t="str">
        <f t="shared" si="7"/>
        <v/>
      </c>
      <c r="Z28" s="570" t="str">
        <f t="shared" si="7"/>
        <v/>
      </c>
      <c r="AA28" s="578" t="str">
        <f t="shared" si="8"/>
        <v/>
      </c>
      <c r="AB28" s="570" t="str">
        <f t="shared" si="8"/>
        <v/>
      </c>
      <c r="AC28" s="578" t="str">
        <f t="shared" si="8"/>
        <v/>
      </c>
      <c r="AD28" s="570" t="str">
        <f t="shared" si="8"/>
        <v/>
      </c>
      <c r="AE28" s="578" t="str">
        <f t="shared" si="8"/>
        <v/>
      </c>
      <c r="AF28" s="570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6"/>
        <v/>
      </c>
      <c r="H29" s="570" t="str">
        <f t="shared" si="6"/>
        <v/>
      </c>
      <c r="I29" s="578" t="str">
        <f t="shared" si="6"/>
        <v/>
      </c>
      <c r="J29" s="570" t="str">
        <f t="shared" si="6"/>
        <v/>
      </c>
      <c r="K29" s="578" t="str">
        <f t="shared" si="6"/>
        <v/>
      </c>
      <c r="L29" s="570" t="str">
        <f t="shared" si="6"/>
        <v/>
      </c>
      <c r="M29" s="578" t="str">
        <f t="shared" si="6"/>
        <v/>
      </c>
      <c r="N29" s="570" t="str">
        <f t="shared" si="6"/>
        <v/>
      </c>
      <c r="O29" s="578" t="str">
        <f t="shared" si="6"/>
        <v/>
      </c>
      <c r="P29" s="570" t="str">
        <f t="shared" si="6"/>
        <v/>
      </c>
      <c r="Q29" s="578" t="str">
        <f t="shared" si="7"/>
        <v/>
      </c>
      <c r="R29" s="570" t="str">
        <f t="shared" si="7"/>
        <v/>
      </c>
      <c r="S29" s="578" t="str">
        <f t="shared" si="7"/>
        <v/>
      </c>
      <c r="T29" s="570" t="str">
        <f t="shared" si="7"/>
        <v/>
      </c>
      <c r="U29" s="578" t="str">
        <f t="shared" si="7"/>
        <v/>
      </c>
      <c r="V29" s="570" t="str">
        <f t="shared" si="7"/>
        <v/>
      </c>
      <c r="W29" s="578" t="str">
        <f t="shared" si="7"/>
        <v/>
      </c>
      <c r="X29" s="570" t="str">
        <f t="shared" si="7"/>
        <v/>
      </c>
      <c r="Y29" s="578" t="str">
        <f t="shared" si="7"/>
        <v/>
      </c>
      <c r="Z29" s="570" t="str">
        <f t="shared" si="7"/>
        <v/>
      </c>
      <c r="AA29" s="578" t="str">
        <f t="shared" si="8"/>
        <v/>
      </c>
      <c r="AB29" s="570" t="str">
        <f t="shared" si="8"/>
        <v/>
      </c>
      <c r="AC29" s="578" t="str">
        <f t="shared" si="8"/>
        <v/>
      </c>
      <c r="AD29" s="570" t="str">
        <f t="shared" si="8"/>
        <v/>
      </c>
      <c r="AE29" s="578" t="str">
        <f t="shared" si="8"/>
        <v/>
      </c>
      <c r="AF29" s="570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6"/>
        <v/>
      </c>
      <c r="H30" s="570" t="str">
        <f t="shared" si="6"/>
        <v/>
      </c>
      <c r="I30" s="578" t="str">
        <f t="shared" si="6"/>
        <v/>
      </c>
      <c r="J30" s="570" t="str">
        <f t="shared" si="6"/>
        <v/>
      </c>
      <c r="K30" s="578" t="str">
        <f t="shared" si="6"/>
        <v/>
      </c>
      <c r="L30" s="570" t="str">
        <f t="shared" si="6"/>
        <v/>
      </c>
      <c r="M30" s="578" t="str">
        <f t="shared" si="6"/>
        <v/>
      </c>
      <c r="N30" s="570" t="str">
        <f t="shared" si="6"/>
        <v/>
      </c>
      <c r="O30" s="578" t="str">
        <f t="shared" si="6"/>
        <v/>
      </c>
      <c r="P30" s="570" t="str">
        <f t="shared" si="6"/>
        <v/>
      </c>
      <c r="Q30" s="578" t="str">
        <f t="shared" si="7"/>
        <v/>
      </c>
      <c r="R30" s="570" t="str">
        <f t="shared" si="7"/>
        <v/>
      </c>
      <c r="S30" s="578" t="str">
        <f t="shared" si="7"/>
        <v/>
      </c>
      <c r="T30" s="570" t="str">
        <f t="shared" si="7"/>
        <v/>
      </c>
      <c r="U30" s="578" t="str">
        <f t="shared" si="7"/>
        <v/>
      </c>
      <c r="V30" s="570" t="str">
        <f t="shared" si="7"/>
        <v/>
      </c>
      <c r="W30" s="578" t="str">
        <f t="shared" si="7"/>
        <v/>
      </c>
      <c r="X30" s="570" t="str">
        <f t="shared" si="7"/>
        <v/>
      </c>
      <c r="Y30" s="578" t="str">
        <f t="shared" si="7"/>
        <v/>
      </c>
      <c r="Z30" s="570" t="str">
        <f t="shared" si="7"/>
        <v/>
      </c>
      <c r="AA30" s="578" t="str">
        <f t="shared" si="8"/>
        <v/>
      </c>
      <c r="AB30" s="570" t="str">
        <f t="shared" si="8"/>
        <v/>
      </c>
      <c r="AC30" s="578" t="str">
        <f t="shared" si="8"/>
        <v/>
      </c>
      <c r="AD30" s="570" t="str">
        <f t="shared" si="8"/>
        <v/>
      </c>
      <c r="AE30" s="578" t="str">
        <f t="shared" si="8"/>
        <v/>
      </c>
      <c r="AF30" s="570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6"/>
        <v/>
      </c>
      <c r="H31" s="570" t="str">
        <f t="shared" si="6"/>
        <v/>
      </c>
      <c r="I31" s="578" t="str">
        <f t="shared" si="6"/>
        <v/>
      </c>
      <c r="J31" s="570" t="str">
        <f t="shared" si="6"/>
        <v/>
      </c>
      <c r="K31" s="578" t="str">
        <f t="shared" si="6"/>
        <v/>
      </c>
      <c r="L31" s="570" t="str">
        <f t="shared" si="6"/>
        <v/>
      </c>
      <c r="M31" s="578" t="str">
        <f t="shared" si="6"/>
        <v/>
      </c>
      <c r="N31" s="570" t="str">
        <f t="shared" si="6"/>
        <v/>
      </c>
      <c r="O31" s="578" t="str">
        <f t="shared" si="6"/>
        <v/>
      </c>
      <c r="P31" s="570" t="str">
        <f t="shared" si="6"/>
        <v/>
      </c>
      <c r="Q31" s="578" t="str">
        <f t="shared" si="7"/>
        <v/>
      </c>
      <c r="R31" s="570" t="str">
        <f t="shared" si="7"/>
        <v/>
      </c>
      <c r="S31" s="578" t="str">
        <f t="shared" si="7"/>
        <v/>
      </c>
      <c r="T31" s="570" t="str">
        <f t="shared" si="7"/>
        <v/>
      </c>
      <c r="U31" s="578" t="str">
        <f t="shared" si="7"/>
        <v/>
      </c>
      <c r="V31" s="570" t="str">
        <f t="shared" si="7"/>
        <v/>
      </c>
      <c r="W31" s="578" t="str">
        <f t="shared" si="7"/>
        <v/>
      </c>
      <c r="X31" s="570" t="str">
        <f t="shared" si="7"/>
        <v/>
      </c>
      <c r="Y31" s="578" t="str">
        <f t="shared" si="7"/>
        <v/>
      </c>
      <c r="Z31" s="570" t="str">
        <f t="shared" si="7"/>
        <v/>
      </c>
      <c r="AA31" s="578" t="str">
        <f t="shared" si="8"/>
        <v/>
      </c>
      <c r="AB31" s="570" t="str">
        <f t="shared" si="8"/>
        <v/>
      </c>
      <c r="AC31" s="578" t="str">
        <f t="shared" si="8"/>
        <v/>
      </c>
      <c r="AD31" s="570" t="str">
        <f t="shared" si="8"/>
        <v/>
      </c>
      <c r="AE31" s="578" t="str">
        <f t="shared" si="8"/>
        <v/>
      </c>
      <c r="AF31" s="570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6"/>
        <v/>
      </c>
      <c r="H32" s="570" t="str">
        <f t="shared" si="6"/>
        <v/>
      </c>
      <c r="I32" s="578" t="str">
        <f t="shared" si="6"/>
        <v/>
      </c>
      <c r="J32" s="570" t="str">
        <f t="shared" si="6"/>
        <v/>
      </c>
      <c r="K32" s="578" t="str">
        <f t="shared" si="6"/>
        <v/>
      </c>
      <c r="L32" s="570" t="str">
        <f t="shared" si="6"/>
        <v/>
      </c>
      <c r="M32" s="578" t="str">
        <f t="shared" si="6"/>
        <v/>
      </c>
      <c r="N32" s="570" t="str">
        <f t="shared" si="6"/>
        <v/>
      </c>
      <c r="O32" s="578" t="str">
        <f t="shared" si="6"/>
        <v/>
      </c>
      <c r="P32" s="570" t="str">
        <f t="shared" si="6"/>
        <v/>
      </c>
      <c r="Q32" s="578" t="str">
        <f t="shared" si="7"/>
        <v/>
      </c>
      <c r="R32" s="570" t="str">
        <f t="shared" si="7"/>
        <v/>
      </c>
      <c r="S32" s="578" t="str">
        <f t="shared" si="7"/>
        <v/>
      </c>
      <c r="T32" s="570" t="str">
        <f t="shared" si="7"/>
        <v/>
      </c>
      <c r="U32" s="578" t="str">
        <f t="shared" si="7"/>
        <v/>
      </c>
      <c r="V32" s="570" t="str">
        <f t="shared" si="7"/>
        <v/>
      </c>
      <c r="W32" s="578" t="str">
        <f t="shared" si="7"/>
        <v/>
      </c>
      <c r="X32" s="570" t="str">
        <f t="shared" si="7"/>
        <v/>
      </c>
      <c r="Y32" s="578" t="str">
        <f t="shared" si="7"/>
        <v/>
      </c>
      <c r="Z32" s="570" t="str">
        <f t="shared" si="7"/>
        <v/>
      </c>
      <c r="AA32" s="578" t="str">
        <f t="shared" si="8"/>
        <v/>
      </c>
      <c r="AB32" s="570" t="str">
        <f t="shared" si="8"/>
        <v/>
      </c>
      <c r="AC32" s="578" t="str">
        <f t="shared" si="8"/>
        <v/>
      </c>
      <c r="AD32" s="570" t="str">
        <f t="shared" si="8"/>
        <v/>
      </c>
      <c r="AE32" s="578" t="str">
        <f t="shared" si="8"/>
        <v/>
      </c>
      <c r="AF32" s="570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6"/>
        <v/>
      </c>
      <c r="H33" s="570" t="str">
        <f t="shared" si="6"/>
        <v/>
      </c>
      <c r="I33" s="578" t="str">
        <f t="shared" si="6"/>
        <v/>
      </c>
      <c r="J33" s="570" t="str">
        <f t="shared" si="6"/>
        <v/>
      </c>
      <c r="K33" s="578" t="str">
        <f t="shared" si="6"/>
        <v/>
      </c>
      <c r="L33" s="570" t="str">
        <f t="shared" si="6"/>
        <v/>
      </c>
      <c r="M33" s="578" t="str">
        <f t="shared" si="6"/>
        <v/>
      </c>
      <c r="N33" s="570" t="str">
        <f t="shared" si="6"/>
        <v/>
      </c>
      <c r="O33" s="578" t="str">
        <f t="shared" si="6"/>
        <v/>
      </c>
      <c r="P33" s="570" t="str">
        <f t="shared" si="6"/>
        <v/>
      </c>
      <c r="Q33" s="578" t="str">
        <f t="shared" si="7"/>
        <v/>
      </c>
      <c r="R33" s="570" t="str">
        <f t="shared" si="7"/>
        <v/>
      </c>
      <c r="S33" s="578" t="str">
        <f t="shared" si="7"/>
        <v/>
      </c>
      <c r="T33" s="570" t="str">
        <f t="shared" si="7"/>
        <v/>
      </c>
      <c r="U33" s="578" t="str">
        <f t="shared" si="7"/>
        <v/>
      </c>
      <c r="V33" s="570" t="str">
        <f t="shared" si="7"/>
        <v/>
      </c>
      <c r="W33" s="578" t="str">
        <f t="shared" si="7"/>
        <v/>
      </c>
      <c r="X33" s="570" t="str">
        <f t="shared" si="7"/>
        <v/>
      </c>
      <c r="Y33" s="578" t="str">
        <f t="shared" si="7"/>
        <v/>
      </c>
      <c r="Z33" s="570" t="str">
        <f t="shared" si="7"/>
        <v/>
      </c>
      <c r="AA33" s="578" t="str">
        <f t="shared" si="8"/>
        <v/>
      </c>
      <c r="AB33" s="570" t="str">
        <f t="shared" si="8"/>
        <v/>
      </c>
      <c r="AC33" s="578" t="str">
        <f t="shared" si="8"/>
        <v/>
      </c>
      <c r="AD33" s="570" t="str">
        <f t="shared" si="8"/>
        <v/>
      </c>
      <c r="AE33" s="578" t="str">
        <f t="shared" si="8"/>
        <v/>
      </c>
      <c r="AF33" s="570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6"/>
        <v/>
      </c>
      <c r="H34" s="570" t="str">
        <f t="shared" si="6"/>
        <v/>
      </c>
      <c r="I34" s="578" t="str">
        <f t="shared" si="6"/>
        <v/>
      </c>
      <c r="J34" s="570" t="str">
        <f t="shared" si="6"/>
        <v/>
      </c>
      <c r="K34" s="578" t="str">
        <f t="shared" si="6"/>
        <v/>
      </c>
      <c r="L34" s="570" t="str">
        <f t="shared" si="6"/>
        <v/>
      </c>
      <c r="M34" s="578" t="str">
        <f t="shared" si="6"/>
        <v/>
      </c>
      <c r="N34" s="570" t="str">
        <f t="shared" si="6"/>
        <v/>
      </c>
      <c r="O34" s="578" t="str">
        <f t="shared" si="6"/>
        <v/>
      </c>
      <c r="P34" s="570" t="str">
        <f t="shared" si="6"/>
        <v/>
      </c>
      <c r="Q34" s="578" t="str">
        <f t="shared" si="7"/>
        <v/>
      </c>
      <c r="R34" s="570" t="str">
        <f t="shared" si="7"/>
        <v/>
      </c>
      <c r="S34" s="578" t="str">
        <f t="shared" si="7"/>
        <v/>
      </c>
      <c r="T34" s="570" t="str">
        <f t="shared" si="7"/>
        <v/>
      </c>
      <c r="U34" s="578" t="str">
        <f t="shared" si="7"/>
        <v/>
      </c>
      <c r="V34" s="570" t="str">
        <f t="shared" si="7"/>
        <v/>
      </c>
      <c r="W34" s="578" t="str">
        <f t="shared" si="7"/>
        <v/>
      </c>
      <c r="X34" s="570" t="str">
        <f t="shared" si="7"/>
        <v/>
      </c>
      <c r="Y34" s="578" t="str">
        <f t="shared" si="7"/>
        <v/>
      </c>
      <c r="Z34" s="570" t="str">
        <f t="shared" si="7"/>
        <v/>
      </c>
      <c r="AA34" s="578" t="str">
        <f t="shared" si="8"/>
        <v/>
      </c>
      <c r="AB34" s="570" t="str">
        <f t="shared" si="8"/>
        <v/>
      </c>
      <c r="AC34" s="578" t="str">
        <f t="shared" si="8"/>
        <v/>
      </c>
      <c r="AD34" s="570" t="str">
        <f t="shared" si="8"/>
        <v/>
      </c>
      <c r="AE34" s="578" t="str">
        <f t="shared" si="8"/>
        <v/>
      </c>
      <c r="AF34" s="570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6"/>
        <v/>
      </c>
      <c r="H35" s="570" t="str">
        <f t="shared" si="6"/>
        <v/>
      </c>
      <c r="I35" s="578" t="str">
        <f t="shared" si="6"/>
        <v/>
      </c>
      <c r="J35" s="570" t="str">
        <f t="shared" si="6"/>
        <v/>
      </c>
      <c r="K35" s="578" t="str">
        <f t="shared" si="6"/>
        <v/>
      </c>
      <c r="L35" s="570" t="str">
        <f t="shared" si="6"/>
        <v/>
      </c>
      <c r="M35" s="578" t="str">
        <f t="shared" si="6"/>
        <v/>
      </c>
      <c r="N35" s="570" t="str">
        <f t="shared" si="6"/>
        <v/>
      </c>
      <c r="O35" s="578" t="str">
        <f t="shared" si="6"/>
        <v/>
      </c>
      <c r="P35" s="570" t="str">
        <f t="shared" si="6"/>
        <v/>
      </c>
      <c r="Q35" s="578" t="str">
        <f t="shared" si="7"/>
        <v/>
      </c>
      <c r="R35" s="570" t="str">
        <f t="shared" si="7"/>
        <v/>
      </c>
      <c r="S35" s="578" t="str">
        <f t="shared" si="7"/>
        <v/>
      </c>
      <c r="T35" s="570" t="str">
        <f t="shared" si="7"/>
        <v/>
      </c>
      <c r="U35" s="578" t="str">
        <f t="shared" si="7"/>
        <v/>
      </c>
      <c r="V35" s="570" t="str">
        <f t="shared" si="7"/>
        <v/>
      </c>
      <c r="W35" s="578" t="str">
        <f t="shared" si="7"/>
        <v/>
      </c>
      <c r="X35" s="570" t="str">
        <f t="shared" si="7"/>
        <v/>
      </c>
      <c r="Y35" s="578" t="str">
        <f t="shared" si="7"/>
        <v/>
      </c>
      <c r="Z35" s="570" t="str">
        <f t="shared" si="7"/>
        <v/>
      </c>
      <c r="AA35" s="578" t="str">
        <f t="shared" si="8"/>
        <v/>
      </c>
      <c r="AB35" s="570" t="str">
        <f t="shared" si="8"/>
        <v/>
      </c>
      <c r="AC35" s="578" t="str">
        <f t="shared" si="8"/>
        <v/>
      </c>
      <c r="AD35" s="570" t="str">
        <f t="shared" si="8"/>
        <v/>
      </c>
      <c r="AE35" s="578" t="str">
        <f t="shared" si="8"/>
        <v/>
      </c>
      <c r="AF35" s="570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43002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3" t="s">
        <v>16</v>
      </c>
      <c r="B11" s="864"/>
      <c r="C11" s="864"/>
      <c r="D11" s="864"/>
      <c r="E11" s="864"/>
      <c r="F11" s="864"/>
      <c r="G11" s="864"/>
      <c r="H11" s="865"/>
    </row>
    <row r="12" spans="1:8" ht="25.5" x14ac:dyDescent="0.2">
      <c r="A12" s="12" t="s">
        <v>238</v>
      </c>
      <c r="B12" s="866" t="s">
        <v>127</v>
      </c>
      <c r="C12" s="868"/>
      <c r="D12" s="870" t="s">
        <v>128</v>
      </c>
      <c r="E12" s="870" t="s">
        <v>129</v>
      </c>
      <c r="F12" s="870" t="s">
        <v>130</v>
      </c>
      <c r="G12" s="13"/>
      <c r="H12" s="13" t="s">
        <v>131</v>
      </c>
    </row>
    <row r="13" spans="1:8" x14ac:dyDescent="0.2">
      <c r="A13" s="14" t="s">
        <v>132</v>
      </c>
      <c r="B13" s="867"/>
      <c r="C13" s="869"/>
      <c r="D13" s="871"/>
      <c r="E13" s="871"/>
      <c r="F13" s="871"/>
      <c r="G13" s="13" t="s">
        <v>133</v>
      </c>
      <c r="H13" s="15" t="s">
        <v>134</v>
      </c>
    </row>
    <row r="14" spans="1:8" ht="20.100000000000001" customHeight="1" x14ac:dyDescent="0.2">
      <c r="A14" s="87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9" t="s">
        <v>164</v>
      </c>
      <c r="F21" s="87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6"/>
      <c r="B24" s="50" t="s">
        <v>151</v>
      </c>
      <c r="C24" s="51"/>
      <c r="D24" s="51"/>
      <c r="E24" s="880" t="s">
        <v>224</v>
      </c>
      <c r="F24" s="88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0"/>
      <c r="F25" s="881"/>
      <c r="G25" s="53"/>
      <c r="H25" s="13"/>
    </row>
    <row r="26" spans="1:8" ht="15.95" customHeight="1" x14ac:dyDescent="0.2">
      <c r="A26" s="12"/>
      <c r="B26" s="39"/>
      <c r="C26" s="39"/>
      <c r="D26" s="39"/>
      <c r="E26" s="882" t="s">
        <v>164</v>
      </c>
      <c r="F26" s="88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7" t="s">
        <v>88</v>
      </c>
      <c r="C28" s="878"/>
      <c r="D28" s="878"/>
      <c r="E28" s="878"/>
      <c r="F28" s="878"/>
      <c r="G28" s="37"/>
      <c r="H28" s="20"/>
    </row>
    <row r="29" spans="1:8" ht="20.100000000000001" customHeight="1" x14ac:dyDescent="0.2">
      <c r="A29" s="87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2" t="s">
        <v>165</v>
      </c>
      <c r="F35" s="88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3" t="s">
        <v>185</v>
      </c>
      <c r="C37" s="884"/>
      <c r="D37" s="884"/>
      <c r="E37" s="884"/>
      <c r="F37" s="885"/>
      <c r="G37" s="20" t="s">
        <v>186</v>
      </c>
      <c r="H37" s="20"/>
    </row>
    <row r="38" spans="1:8" ht="15.95" customHeight="1" x14ac:dyDescent="0.2">
      <c r="A38" s="21"/>
      <c r="B38" s="872" t="s">
        <v>187</v>
      </c>
      <c r="C38" s="873"/>
      <c r="D38" s="873"/>
      <c r="E38" s="873"/>
      <c r="F38" s="874"/>
      <c r="G38" s="15" t="s">
        <v>188</v>
      </c>
      <c r="H38" s="13"/>
    </row>
    <row r="39" spans="1:8" ht="15.95" customHeight="1" x14ac:dyDescent="0.2">
      <c r="A39" s="21"/>
      <c r="B39" s="872" t="s">
        <v>189</v>
      </c>
      <c r="C39" s="873"/>
      <c r="D39" s="873"/>
      <c r="E39" s="873"/>
      <c r="F39" s="87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81">
        <f ca="1">TODAY()</f>
        <v>43002</v>
      </c>
      <c r="F3" s="582" t="str">
        <f>Txt_Pat_PatNo</f>
        <v/>
      </c>
      <c r="G3" s="583"/>
      <c r="H3" s="584"/>
    </row>
    <row r="4" spans="1:8" x14ac:dyDescent="0.2">
      <c r="A4" s="209" t="s">
        <v>193</v>
      </c>
      <c r="B4" s="209" t="s">
        <v>302</v>
      </c>
      <c r="F4" s="585" t="str">
        <f>Txt_Pat_FullName</f>
        <v/>
      </c>
      <c r="G4" s="221"/>
      <c r="H4" s="586"/>
    </row>
    <row r="5" spans="1:8" x14ac:dyDescent="0.2">
      <c r="A5" s="240" t="s">
        <v>398</v>
      </c>
      <c r="B5" s="209">
        <f>__1_Bed</f>
        <v>0</v>
      </c>
      <c r="F5" s="587" t="str">
        <f ca="1">Txt_Pat_GeboorteDat</f>
        <v/>
      </c>
      <c r="G5" s="221"/>
      <c r="H5" s="586"/>
    </row>
    <row r="6" spans="1:8" x14ac:dyDescent="0.2">
      <c r="A6" s="209" t="s">
        <v>251</v>
      </c>
      <c r="B6" s="209" t="s">
        <v>194</v>
      </c>
      <c r="F6" s="585" t="str">
        <f>Txt_Pat_Gewicht</f>
        <v>Gewicht:</v>
      </c>
      <c r="G6" s="221"/>
      <c r="H6" s="586"/>
    </row>
    <row r="7" spans="1:8" x14ac:dyDescent="0.2">
      <c r="A7" s="209" t="s">
        <v>223</v>
      </c>
      <c r="B7" s="209" t="s">
        <v>194</v>
      </c>
      <c r="F7" s="588"/>
      <c r="G7" s="589"/>
      <c r="H7" s="590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95" t="s">
        <v>16</v>
      </c>
      <c r="B10" s="896"/>
      <c r="C10" s="896"/>
      <c r="D10" s="896"/>
      <c r="E10" s="896"/>
      <c r="F10" s="896"/>
      <c r="G10" s="896"/>
      <c r="H10" s="897"/>
    </row>
    <row r="11" spans="1:8" ht="25.5" x14ac:dyDescent="0.2">
      <c r="A11" s="591" t="s">
        <v>238</v>
      </c>
      <c r="B11" s="898" t="s">
        <v>127</v>
      </c>
      <c r="C11" s="900"/>
      <c r="D11" s="870" t="s">
        <v>128</v>
      </c>
      <c r="E11" s="870" t="s">
        <v>129</v>
      </c>
      <c r="F11" s="870" t="s">
        <v>130</v>
      </c>
      <c r="G11" s="592"/>
      <c r="H11" s="592" t="s">
        <v>131</v>
      </c>
    </row>
    <row r="12" spans="1:8" ht="15" customHeight="1" x14ac:dyDescent="0.2">
      <c r="A12" s="593" t="s">
        <v>132</v>
      </c>
      <c r="B12" s="899"/>
      <c r="C12" s="901"/>
      <c r="D12" s="871"/>
      <c r="E12" s="871"/>
      <c r="F12" s="871"/>
      <c r="G12" s="592" t="s">
        <v>133</v>
      </c>
      <c r="H12" s="594" t="s">
        <v>134</v>
      </c>
    </row>
    <row r="13" spans="1:8" ht="20.100000000000001" customHeight="1" x14ac:dyDescent="0.2">
      <c r="A13" s="902" t="str">
        <f>IF(PedBerTPN!G5=0,"",PedBerTPN!V3)</f>
        <v/>
      </c>
      <c r="B13" s="595" t="s">
        <v>32</v>
      </c>
      <c r="C13" s="596"/>
      <c r="D13" s="596" t="s">
        <v>135</v>
      </c>
      <c r="E13" s="596" t="s">
        <v>135</v>
      </c>
      <c r="F13" s="597" t="s">
        <v>135</v>
      </c>
      <c r="G13" s="598" t="str">
        <f>IF(A13="","",PedBerTPN!W9)</f>
        <v/>
      </c>
      <c r="H13" s="592"/>
    </row>
    <row r="14" spans="1:8" ht="20.100000000000001" customHeight="1" x14ac:dyDescent="0.2">
      <c r="A14" s="903"/>
      <c r="B14" s="599" t="s">
        <v>320</v>
      </c>
      <c r="C14" s="600"/>
      <c r="D14" s="600" t="s">
        <v>323</v>
      </c>
      <c r="E14" s="600" t="s">
        <v>37</v>
      </c>
      <c r="F14" s="601" t="s">
        <v>37</v>
      </c>
      <c r="G14" s="598" t="str">
        <f>IF(A13="","",PedBerTPN!W10)</f>
        <v/>
      </c>
      <c r="H14" s="592"/>
    </row>
    <row r="15" spans="1:8" ht="20.100000000000001" customHeight="1" x14ac:dyDescent="0.2">
      <c r="A15" s="591"/>
      <c r="B15" s="599" t="s">
        <v>324</v>
      </c>
      <c r="C15" s="600"/>
      <c r="D15" s="600" t="s">
        <v>308</v>
      </c>
      <c r="E15" s="600" t="s">
        <v>325</v>
      </c>
      <c r="F15" s="601" t="s">
        <v>38</v>
      </c>
      <c r="G15" s="602" t="str">
        <f>PedBerTPN!W5</f>
        <v/>
      </c>
      <c r="H15" s="592"/>
    </row>
    <row r="16" spans="1:8" ht="20.100000000000001" customHeight="1" x14ac:dyDescent="0.2">
      <c r="A16" s="591"/>
      <c r="B16" s="599" t="s">
        <v>470</v>
      </c>
      <c r="C16" s="600"/>
      <c r="D16" s="600" t="s">
        <v>326</v>
      </c>
      <c r="E16" s="600"/>
      <c r="F16" s="601"/>
      <c r="G16" s="602" t="str">
        <f>IF(B16=PedBerTPN!$H$8,PedBerTPN!$W$8,"")</f>
        <v/>
      </c>
      <c r="H16" s="592"/>
    </row>
    <row r="17" spans="1:8" ht="20.100000000000001" customHeight="1" x14ac:dyDescent="0.2">
      <c r="A17" s="591"/>
      <c r="B17" s="599" t="s">
        <v>473</v>
      </c>
      <c r="C17" s="600"/>
      <c r="D17" s="600"/>
      <c r="E17" s="600" t="s">
        <v>327</v>
      </c>
      <c r="F17" s="601"/>
      <c r="G17" s="602" t="str">
        <f>IF(B17=PedBerTPN!$H$8,PedBerTPN!$W$8,"")</f>
        <v/>
      </c>
      <c r="H17" s="592"/>
    </row>
    <row r="18" spans="1:8" ht="20.100000000000001" customHeight="1" x14ac:dyDescent="0.2">
      <c r="A18" s="591"/>
      <c r="B18" s="599" t="s">
        <v>475</v>
      </c>
      <c r="C18" s="600" t="s">
        <v>4898</v>
      </c>
      <c r="D18" s="600"/>
      <c r="E18" s="600"/>
      <c r="F18" s="601" t="s">
        <v>328</v>
      </c>
      <c r="G18" s="602" t="str">
        <f>IF(AND(B18=PedBerTPN!$H$8, _Pat_Gewicht&gt;=70,_Pat_Gewicht&lt;100),PedBerTPN!$W$8,"")</f>
        <v/>
      </c>
      <c r="H18" s="592"/>
    </row>
    <row r="19" spans="1:8" ht="20.100000000000001" customHeight="1" x14ac:dyDescent="0.2">
      <c r="A19" s="591"/>
      <c r="B19" s="599" t="s">
        <v>475</v>
      </c>
      <c r="C19" s="600" t="s">
        <v>4899</v>
      </c>
      <c r="D19" s="600"/>
      <c r="E19" s="600"/>
      <c r="F19" s="601" t="s">
        <v>329</v>
      </c>
      <c r="G19" s="602" t="str">
        <f>IF(AND(B19=PedBerTPN!$H$8,_Pat_Gewicht&gt;=11),PedBerTPN!$W$8,"")</f>
        <v/>
      </c>
      <c r="H19" s="592"/>
    </row>
    <row r="20" spans="1:8" ht="20.100000000000001" customHeight="1" x14ac:dyDescent="0.2">
      <c r="A20" s="591"/>
      <c r="B20" s="599" t="str">
        <f>IF($A$13="","",PedBerTPN!$H$8)</f>
        <v/>
      </c>
      <c r="C20" s="600"/>
      <c r="D20" s="600"/>
      <c r="E20" s="600"/>
      <c r="F20" s="601"/>
      <c r="G20" s="602" t="str">
        <f>IF(AND(G$16="",G$17="",G$18="",$G$19="",$A$13&lt;&gt;""),PedBerTPN!$W$8,"")</f>
        <v/>
      </c>
      <c r="H20" s="592"/>
    </row>
    <row r="21" spans="1:8" ht="15.95" customHeight="1" x14ac:dyDescent="0.2">
      <c r="A21" s="591"/>
      <c r="B21" s="603"/>
      <c r="C21" s="603"/>
      <c r="D21" s="603"/>
      <c r="E21" s="886" t="s">
        <v>164</v>
      </c>
      <c r="F21" s="886"/>
      <c r="G21" s="604" t="str">
        <f>IF($A$13="","",PedBerTPN!$W$3)</f>
        <v/>
      </c>
      <c r="H21" s="605"/>
    </row>
    <row r="22" spans="1:8" ht="15.95" customHeight="1" x14ac:dyDescent="0.2">
      <c r="A22" s="591"/>
      <c r="B22" s="606"/>
      <c r="C22" s="606"/>
      <c r="D22" s="606"/>
      <c r="E22" s="606"/>
      <c r="F22" s="606"/>
      <c r="G22" s="607"/>
      <c r="H22" s="592"/>
    </row>
    <row r="23" spans="1:8" ht="20.100000000000001" customHeight="1" x14ac:dyDescent="0.2">
      <c r="A23" s="893" t="str">
        <f>PedBerTPN!$V$16</f>
        <v/>
      </c>
      <c r="B23" s="595" t="s">
        <v>150</v>
      </c>
      <c r="C23" s="596"/>
      <c r="D23" s="596" t="s">
        <v>307</v>
      </c>
      <c r="E23" s="596" t="s">
        <v>308</v>
      </c>
      <c r="F23" s="597" t="s">
        <v>136</v>
      </c>
      <c r="G23" s="598" t="str">
        <f>PedBerTPN!$W$17</f>
        <v/>
      </c>
      <c r="H23" s="608"/>
    </row>
    <row r="24" spans="1:8" ht="20.100000000000001" customHeight="1" x14ac:dyDescent="0.2">
      <c r="A24" s="894"/>
      <c r="B24" s="599" t="s">
        <v>151</v>
      </c>
      <c r="C24" s="600"/>
      <c r="D24" s="600"/>
      <c r="E24" s="906" t="s">
        <v>295</v>
      </c>
      <c r="F24" s="907"/>
      <c r="G24" s="598" t="str">
        <f>PedBerTPN!$W$18</f>
        <v/>
      </c>
      <c r="H24" s="592"/>
    </row>
    <row r="25" spans="1:8" ht="20.100000000000001" customHeight="1" x14ac:dyDescent="0.2">
      <c r="A25" s="591"/>
      <c r="B25" s="599" t="s">
        <v>163</v>
      </c>
      <c r="C25" s="600"/>
      <c r="D25" s="600"/>
      <c r="E25" s="906" t="s">
        <v>295</v>
      </c>
      <c r="F25" s="907"/>
      <c r="G25" s="598" t="str">
        <f>PedBerTPN!$W$19</f>
        <v/>
      </c>
      <c r="H25" s="592"/>
    </row>
    <row r="26" spans="1:8" ht="15.95" customHeight="1" x14ac:dyDescent="0.2">
      <c r="A26" s="591"/>
      <c r="B26" s="606"/>
      <c r="C26" s="606"/>
      <c r="D26" s="606"/>
      <c r="E26" s="886" t="s">
        <v>164</v>
      </c>
      <c r="F26" s="886"/>
      <c r="G26" s="607" t="str">
        <f>PedBerTPN!$W$16</f>
        <v/>
      </c>
      <c r="H26" s="605"/>
    </row>
    <row r="27" spans="1:8" ht="15.95" customHeight="1" thickBot="1" x14ac:dyDescent="0.25">
      <c r="A27" s="591"/>
      <c r="B27" s="606"/>
      <c r="C27" s="606"/>
      <c r="D27" s="606"/>
      <c r="E27" s="606"/>
      <c r="F27" s="606"/>
      <c r="G27" s="607"/>
      <c r="H27" s="592"/>
    </row>
    <row r="28" spans="1:8" ht="15.95" customHeight="1" thickTop="1" x14ac:dyDescent="0.2">
      <c r="A28" s="609"/>
      <c r="B28" s="904" t="s">
        <v>88</v>
      </c>
      <c r="C28" s="905"/>
      <c r="D28" s="905"/>
      <c r="E28" s="905"/>
      <c r="F28" s="905"/>
      <c r="G28" s="610"/>
      <c r="H28" s="611"/>
    </row>
    <row r="29" spans="1:8" ht="20.100000000000001" customHeight="1" x14ac:dyDescent="0.2">
      <c r="A29" s="893" t="str">
        <f>IF(PedBerTPN!$V$11="",PedBerTPN!$V$3,PedBerTPN!$V$12)</f>
        <v/>
      </c>
      <c r="B29" s="612" t="s">
        <v>32</v>
      </c>
      <c r="C29" s="613"/>
      <c r="D29" s="613"/>
      <c r="E29" s="613"/>
      <c r="F29" s="614"/>
      <c r="G29" s="615" t="str">
        <f>IF(G14="",PedBerTPN!$W$9,"")</f>
        <v/>
      </c>
      <c r="H29" s="592"/>
    </row>
    <row r="30" spans="1:8" ht="20.100000000000001" customHeight="1" x14ac:dyDescent="0.2">
      <c r="A30" s="894"/>
      <c r="B30" s="616" t="s">
        <v>322</v>
      </c>
      <c r="C30" s="617"/>
      <c r="D30" s="617"/>
      <c r="E30" s="617"/>
      <c r="F30" s="618"/>
      <c r="G30" s="619" t="str">
        <f>IF($G$14="",PedBerTPN!$W$10,"")</f>
        <v/>
      </c>
      <c r="H30" s="592"/>
    </row>
    <row r="31" spans="1:8" ht="20.100000000000001" customHeight="1" x14ac:dyDescent="0.2">
      <c r="A31" s="620"/>
      <c r="B31" s="616" t="s">
        <v>338</v>
      </c>
      <c r="C31" s="617"/>
      <c r="D31" s="617"/>
      <c r="E31" s="617"/>
      <c r="F31" s="618"/>
      <c r="G31" s="619" t="str">
        <f>PedBerTPN!$W$12</f>
        <v/>
      </c>
      <c r="H31" s="592"/>
    </row>
    <row r="32" spans="1:8" ht="20.100000000000001" customHeight="1" x14ac:dyDescent="0.2">
      <c r="A32" s="620"/>
      <c r="B32" s="616" t="s">
        <v>339</v>
      </c>
      <c r="C32" s="617"/>
      <c r="D32" s="617"/>
      <c r="E32" s="617"/>
      <c r="F32" s="618"/>
      <c r="G32" s="619" t="str">
        <f>PedBerTPN!$W$13</f>
        <v/>
      </c>
      <c r="H32" s="592"/>
    </row>
    <row r="33" spans="1:8" ht="20.100000000000001" customHeight="1" x14ac:dyDescent="0.2">
      <c r="A33" s="620"/>
      <c r="B33" s="616" t="s">
        <v>470</v>
      </c>
      <c r="C33" s="617"/>
      <c r="D33" s="617"/>
      <c r="E33" s="617"/>
      <c r="F33" s="618"/>
      <c r="G33" s="619" t="str">
        <f>IF($G$16="",PedBerTPN!$W$11,"")</f>
        <v/>
      </c>
      <c r="H33" s="592"/>
    </row>
    <row r="34" spans="1:8" ht="20.100000000000001" customHeight="1" x14ac:dyDescent="0.2">
      <c r="A34" s="591"/>
      <c r="B34" s="616" t="str">
        <f>IF(B20="",PedBerTPN!$H$8,"")</f>
        <v/>
      </c>
      <c r="C34" s="617"/>
      <c r="D34" s="617"/>
      <c r="E34" s="617"/>
      <c r="F34" s="618"/>
      <c r="G34" s="619" t="str">
        <f>IF(AND(G17="",G18="",G19="",G20=""),PedBerTPN!$W$8,"")</f>
        <v/>
      </c>
      <c r="H34" s="592"/>
    </row>
    <row r="35" spans="1:8" ht="15.95" customHeight="1" x14ac:dyDescent="0.2">
      <c r="A35" s="591"/>
      <c r="B35" s="606"/>
      <c r="C35" s="606"/>
      <c r="D35" s="606"/>
      <c r="E35" s="886" t="s">
        <v>165</v>
      </c>
      <c r="F35" s="886"/>
      <c r="G35" s="621" t="str">
        <f>IF(G21="",PedBerTPN!$W$3,SUM(PedBerTPN!$G$12:$G$13,PedBerTPN!$G$11)&amp;" ml")</f>
        <v/>
      </c>
      <c r="H35" s="592"/>
    </row>
    <row r="36" spans="1:8" ht="15.95" customHeight="1" thickBot="1" x14ac:dyDescent="0.25">
      <c r="A36" s="591"/>
      <c r="B36" s="606"/>
      <c r="C36" s="606"/>
      <c r="D36" s="606"/>
      <c r="E36" s="606"/>
      <c r="F36" s="606"/>
      <c r="G36" s="606"/>
      <c r="H36" s="592"/>
    </row>
    <row r="37" spans="1:8" ht="15.95" customHeight="1" thickTop="1" x14ac:dyDescent="0.2">
      <c r="A37" s="609"/>
      <c r="B37" s="887" t="s">
        <v>185</v>
      </c>
      <c r="C37" s="888"/>
      <c r="D37" s="888"/>
      <c r="E37" s="888"/>
      <c r="F37" s="889"/>
      <c r="G37" s="611" t="s">
        <v>186</v>
      </c>
      <c r="H37" s="611"/>
    </row>
    <row r="38" spans="1:8" ht="15.95" customHeight="1" x14ac:dyDescent="0.2">
      <c r="A38" s="622"/>
      <c r="B38" s="890" t="s">
        <v>187</v>
      </c>
      <c r="C38" s="891"/>
      <c r="D38" s="891"/>
      <c r="E38" s="891"/>
      <c r="F38" s="892"/>
      <c r="G38" s="594" t="s">
        <v>188</v>
      </c>
      <c r="H38" s="592"/>
    </row>
    <row r="39" spans="1:8" ht="15.95" customHeight="1" x14ac:dyDescent="0.2">
      <c r="A39" s="622"/>
      <c r="B39" s="890" t="s">
        <v>189</v>
      </c>
      <c r="C39" s="891"/>
      <c r="D39" s="891"/>
      <c r="E39" s="891"/>
      <c r="F39" s="892"/>
      <c r="G39" s="594" t="s">
        <v>186</v>
      </c>
      <c r="H39" s="623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43002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8" t="s">
        <v>97</v>
      </c>
      <c r="F16" s="90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2" t="s">
        <v>164</v>
      </c>
      <c r="F21" s="88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1"/>
      <c r="B24" s="50" t="s">
        <v>151</v>
      </c>
      <c r="C24" s="51"/>
      <c r="D24" s="51"/>
      <c r="E24" s="908" t="s">
        <v>295</v>
      </c>
      <c r="F24" s="90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8" t="s">
        <v>295</v>
      </c>
      <c r="F25" s="90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2" t="s">
        <v>164</v>
      </c>
      <c r="F26" s="88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7" t="s">
        <v>88</v>
      </c>
      <c r="C28" s="878"/>
      <c r="D28" s="878"/>
      <c r="E28" s="878"/>
      <c r="F28" s="878"/>
      <c r="G28" s="37"/>
      <c r="H28" s="20"/>
    </row>
    <row r="29" spans="1:8" ht="20.100000000000001" customHeight="1" x14ac:dyDescent="0.2">
      <c r="A29" s="91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1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2" t="s">
        <v>165</v>
      </c>
      <c r="F35" s="88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3" t="s">
        <v>185</v>
      </c>
      <c r="C37" s="884"/>
      <c r="D37" s="884"/>
      <c r="E37" s="884"/>
      <c r="F37" s="885"/>
      <c r="G37" s="20" t="s">
        <v>186</v>
      </c>
      <c r="H37" s="20"/>
    </row>
    <row r="38" spans="1:8" ht="15.95" customHeight="1" x14ac:dyDescent="0.2">
      <c r="A38" s="21"/>
      <c r="B38" s="872" t="s">
        <v>187</v>
      </c>
      <c r="C38" s="873"/>
      <c r="D38" s="873"/>
      <c r="E38" s="873"/>
      <c r="F38" s="874"/>
      <c r="G38" s="15" t="s">
        <v>188</v>
      </c>
      <c r="H38" s="13"/>
    </row>
    <row r="39" spans="1:8" ht="15.95" customHeight="1" x14ac:dyDescent="0.2">
      <c r="A39" s="21"/>
      <c r="B39" s="872" t="s">
        <v>189</v>
      </c>
      <c r="C39" s="873"/>
      <c r="D39" s="873"/>
      <c r="E39" s="873"/>
      <c r="F39" s="87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43002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8" t="s">
        <v>97</v>
      </c>
      <c r="F16" s="90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2" t="s">
        <v>164</v>
      </c>
      <c r="F22" s="88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0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1"/>
      <c r="B25" s="50" t="s">
        <v>151</v>
      </c>
      <c r="C25" s="51"/>
      <c r="D25" s="51"/>
      <c r="E25" s="908" t="s">
        <v>295</v>
      </c>
      <c r="F25" s="90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8" t="s">
        <v>295</v>
      </c>
      <c r="F26" s="90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2" t="s">
        <v>164</v>
      </c>
      <c r="F27" s="88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2" t="s">
        <v>88</v>
      </c>
      <c r="C29" s="913"/>
      <c r="D29" s="913"/>
      <c r="E29" s="913"/>
      <c r="F29" s="913"/>
      <c r="G29" s="37"/>
      <c r="H29" s="20"/>
    </row>
    <row r="30" spans="1:8" ht="20.100000000000001" customHeight="1" x14ac:dyDescent="0.2">
      <c r="A30" s="910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1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9" t="s">
        <v>165</v>
      </c>
      <c r="F36" s="87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3" t="s">
        <v>185</v>
      </c>
      <c r="C38" s="884"/>
      <c r="D38" s="884"/>
      <c r="E38" s="884"/>
      <c r="F38" s="885"/>
      <c r="G38" s="20" t="s">
        <v>186</v>
      </c>
      <c r="H38" s="20"/>
    </row>
    <row r="39" spans="1:8" ht="15.95" customHeight="1" x14ac:dyDescent="0.2">
      <c r="A39" s="21"/>
      <c r="B39" s="872" t="s">
        <v>187</v>
      </c>
      <c r="C39" s="873"/>
      <c r="D39" s="873"/>
      <c r="E39" s="873"/>
      <c r="F39" s="874"/>
      <c r="G39" s="15" t="s">
        <v>188</v>
      </c>
      <c r="H39" s="13"/>
    </row>
    <row r="40" spans="1:8" ht="15.95" customHeight="1" x14ac:dyDescent="0.2">
      <c r="A40" s="21"/>
      <c r="B40" s="872" t="s">
        <v>189</v>
      </c>
      <c r="C40" s="873"/>
      <c r="D40" s="873"/>
      <c r="E40" s="873"/>
      <c r="F40" s="87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43002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1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1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1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2" t="s">
        <v>164</v>
      </c>
      <c r="F19" s="88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1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1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2" t="s">
        <v>164</v>
      </c>
      <c r="F24" s="88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2" t="s">
        <v>88</v>
      </c>
      <c r="C26" s="913"/>
      <c r="D26" s="913"/>
      <c r="E26" s="913"/>
      <c r="F26" s="913"/>
      <c r="G26" s="37"/>
      <c r="H26" s="20"/>
    </row>
    <row r="27" spans="1:8" ht="20.100000000000001" customHeight="1" x14ac:dyDescent="0.2">
      <c r="A27" s="910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1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9" t="s">
        <v>165</v>
      </c>
      <c r="F33" s="87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3" t="s">
        <v>185</v>
      </c>
      <c r="C35" s="884"/>
      <c r="D35" s="884"/>
      <c r="E35" s="884"/>
      <c r="F35" s="885"/>
      <c r="G35" s="20" t="s">
        <v>186</v>
      </c>
      <c r="H35" s="20"/>
    </row>
    <row r="36" spans="1:8" ht="20.100000000000001" customHeight="1" x14ac:dyDescent="0.2">
      <c r="A36" s="21"/>
      <c r="B36" s="872" t="s">
        <v>187</v>
      </c>
      <c r="C36" s="873"/>
      <c r="D36" s="873"/>
      <c r="E36" s="873"/>
      <c r="F36" s="874"/>
      <c r="G36" s="15" t="s">
        <v>188</v>
      </c>
      <c r="H36" s="13"/>
    </row>
    <row r="37" spans="1:8" ht="20.100000000000001" customHeight="1" x14ac:dyDescent="0.2">
      <c r="A37" s="21"/>
      <c r="B37" s="872" t="s">
        <v>189</v>
      </c>
      <c r="C37" s="873"/>
      <c r="D37" s="873"/>
      <c r="E37" s="873"/>
      <c r="F37" s="87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7" customWidth="1"/>
    <col min="3" max="3" width="3.7109375" style="466" customWidth="1"/>
    <col min="4" max="4" width="12.7109375" style="466" customWidth="1"/>
    <col min="5" max="8" width="14.28515625" style="466" customWidth="1"/>
    <col min="9" max="9" width="12.7109375" style="466" customWidth="1"/>
    <col min="10" max="13" width="14.28515625" style="466" customWidth="1"/>
    <col min="14" max="14" width="12.7109375" style="466" customWidth="1"/>
    <col min="15" max="18" width="14.28515625" style="466" customWidth="1"/>
    <col min="19" max="21" width="12.42578125" style="466" customWidth="1"/>
    <col min="22" max="16384" width="9.140625" style="466"/>
  </cols>
  <sheetData>
    <row r="1" spans="1:18" ht="20.100000000000001" customHeight="1" x14ac:dyDescent="0.2">
      <c r="C1" s="465"/>
      <c r="D1" s="470" t="str">
        <f>IF(K59&lt;0,"Te weinig volume voor TPN!","")</f>
        <v/>
      </c>
    </row>
    <row r="2" spans="1:18" ht="20.100000000000001" customHeight="1" x14ac:dyDescent="0.2">
      <c r="C2" s="737"/>
      <c r="D2" s="738" t="s">
        <v>282</v>
      </c>
      <c r="E2" s="738" t="s">
        <v>428</v>
      </c>
      <c r="F2" s="738" t="s">
        <v>429</v>
      </c>
      <c r="G2" s="738" t="s">
        <v>86</v>
      </c>
      <c r="H2" s="743" t="s">
        <v>89</v>
      </c>
      <c r="I2" s="738"/>
      <c r="J2" s="738" t="s">
        <v>428</v>
      </c>
      <c r="K2" s="738" t="s">
        <v>429</v>
      </c>
      <c r="L2" s="738" t="s">
        <v>86</v>
      </c>
      <c r="M2" s="743" t="s">
        <v>89</v>
      </c>
      <c r="N2" s="738"/>
      <c r="O2" s="738" t="s">
        <v>428</v>
      </c>
      <c r="P2" s="738" t="s">
        <v>429</v>
      </c>
      <c r="Q2" s="738" t="s">
        <v>86</v>
      </c>
      <c r="R2" s="743" t="s">
        <v>89</v>
      </c>
    </row>
    <row r="3" spans="1:18" ht="20.100000000000001" customHeight="1" x14ac:dyDescent="0.2">
      <c r="C3" s="737"/>
      <c r="D3" s="737" t="s">
        <v>241</v>
      </c>
      <c r="E3" s="740" t="str">
        <f>NeoBerInfB!$AL$57</f>
        <v/>
      </c>
      <c r="F3" s="740" t="str">
        <f>NeoBerInfB!$AL$56</f>
        <v/>
      </c>
      <c r="G3" s="740" t="str">
        <f>NeoBerInfB!$AL$58</f>
        <v/>
      </c>
      <c r="H3" s="740"/>
      <c r="I3" s="737"/>
      <c r="J3" s="740"/>
      <c r="K3" s="740"/>
      <c r="L3" s="740"/>
      <c r="M3" s="740"/>
      <c r="N3" s="737"/>
      <c r="O3" s="740"/>
      <c r="P3" s="740"/>
      <c r="Q3" s="740"/>
      <c r="R3" s="740"/>
    </row>
    <row r="4" spans="1:18" ht="20.100000000000001" customHeight="1" x14ac:dyDescent="0.2">
      <c r="C4" s="737"/>
      <c r="D4" s="737" t="s">
        <v>167</v>
      </c>
      <c r="E4" s="740" t="str">
        <f>NeoBerInfB!$AR$57</f>
        <v/>
      </c>
      <c r="F4" s="740" t="str">
        <f>NeoBerInfB!$AR$56</f>
        <v/>
      </c>
      <c r="G4" s="740" t="str">
        <f>NeoBerInfB!$AR$58</f>
        <v/>
      </c>
      <c r="H4" s="740"/>
      <c r="I4" s="737" t="s">
        <v>125</v>
      </c>
      <c r="J4" s="740" t="str">
        <f>NeoBerInfB!$AM$57</f>
        <v/>
      </c>
      <c r="K4" s="740" t="str">
        <f>NeoBerInfB!$AM$56</f>
        <v/>
      </c>
      <c r="L4" s="740" t="str">
        <f>NeoBerInfB!$AM$58</f>
        <v/>
      </c>
      <c r="M4" s="740" t="str">
        <f>IF(_Glob_Lab_Natrium&gt;0,_Glob_Lab_Natrium,"")</f>
        <v/>
      </c>
      <c r="N4" s="737" t="s">
        <v>431</v>
      </c>
      <c r="O4" s="740" t="str">
        <f>NeoBerInfB!$AV$57</f>
        <v/>
      </c>
      <c r="P4" s="740" t="str">
        <f>NeoBerInfB!$AV$56</f>
        <v/>
      </c>
      <c r="Q4" s="740" t="str">
        <f>NeoBerInfB!$AV$58</f>
        <v/>
      </c>
      <c r="R4" s="740" t="str">
        <f>IF(_Glob_Lab_Chloride&gt;0,_Glob_Lab_Chloride,"")</f>
        <v/>
      </c>
    </row>
    <row r="5" spans="1:18" ht="20.100000000000001" customHeight="1" x14ac:dyDescent="0.2">
      <c r="C5" s="737"/>
      <c r="D5" s="737" t="s">
        <v>168</v>
      </c>
      <c r="E5" s="740" t="str">
        <f>NeoBerInfB!$AT$57</f>
        <v/>
      </c>
      <c r="F5" s="740" t="str">
        <f>NeoBerInfB!$AT$56</f>
        <v/>
      </c>
      <c r="G5" s="740" t="str">
        <f>NeoBerInfB!$AT$58</f>
        <v/>
      </c>
      <c r="H5" s="740" t="str">
        <f>IF(_Glob_Lab_Triglyceriden&gt;0,_Glob_Lab_Triglyceriden,"")</f>
        <v/>
      </c>
      <c r="I5" s="737" t="s">
        <v>214</v>
      </c>
      <c r="J5" s="740" t="str">
        <f>NeoBerInfB!$AN$57</f>
        <v/>
      </c>
      <c r="K5" s="740" t="str">
        <f>NeoBerInfB!$AN$56</f>
        <v/>
      </c>
      <c r="L5" s="740" t="str">
        <f>NeoBerInfB!$AN$58</f>
        <v/>
      </c>
      <c r="M5" s="740" t="str">
        <f>IF(_Glob_Lab_Kalium&gt;0,_Glob_Lab_Kalium,"")</f>
        <v/>
      </c>
      <c r="N5" s="737" t="s">
        <v>170</v>
      </c>
      <c r="O5" s="740" t="str">
        <f>NeoBerInfB!$AQ$57</f>
        <v/>
      </c>
      <c r="P5" s="740" t="str">
        <f>NeoBerInfB!$AQ$56</f>
        <v/>
      </c>
      <c r="Q5" s="740" t="str">
        <f>NeoBerInfB!$AQ$58</f>
        <v/>
      </c>
      <c r="R5" s="740" t="str">
        <f>IF(_Glob_Lab_Fosfaat&gt;0,_Glob_Lab_Fosfaat,"")</f>
        <v/>
      </c>
    </row>
    <row r="6" spans="1:18" ht="20.100000000000001" customHeight="1" x14ac:dyDescent="0.2">
      <c r="C6" s="739"/>
      <c r="D6" s="737" t="s">
        <v>430</v>
      </c>
      <c r="E6" s="740" t="str">
        <f>NeoBerInfB!$AS$57</f>
        <v/>
      </c>
      <c r="F6" s="740" t="str">
        <f>NeoBerInfB!$AS$56</f>
        <v/>
      </c>
      <c r="G6" s="740" t="str">
        <f>NeoBerInfB!$AS$58</f>
        <v/>
      </c>
      <c r="H6" s="740" t="str">
        <f>IF(_Glob_Lab_Glucose&gt;0,_Glob_Lab_Glucose,"")</f>
        <v/>
      </c>
      <c r="I6" s="737" t="s">
        <v>169</v>
      </c>
      <c r="J6" s="740" t="str">
        <f>NeoBerInfB!$AO$57</f>
        <v/>
      </c>
      <c r="K6" s="740" t="str">
        <f>NeoBerInfB!$AO$56</f>
        <v/>
      </c>
      <c r="L6" s="740" t="str">
        <f>NeoBerInfB!$AO$58</f>
        <v/>
      </c>
      <c r="M6" s="740" t="str">
        <f>IF(_Glob_Lab_Calcium&gt;0,_Glob_Lab_Calcium,"")</f>
        <v/>
      </c>
      <c r="N6" s="740" t="s">
        <v>432</v>
      </c>
      <c r="O6" s="740" t="str">
        <f>NeoBerInfB!$AW$57</f>
        <v/>
      </c>
      <c r="P6" s="740" t="str">
        <f>NeoBerInfB!$AW$56</f>
        <v/>
      </c>
      <c r="Q6" s="740" t="str">
        <f>NeoBerInfB!$AW$58</f>
        <v/>
      </c>
      <c r="R6" s="740"/>
    </row>
    <row r="7" spans="1:18" ht="20.100000000000001" customHeight="1" x14ac:dyDescent="0.2">
      <c r="C7" s="737"/>
      <c r="D7" s="737" t="s">
        <v>424</v>
      </c>
      <c r="E7" s="740" t="str">
        <f>NeoBerInfB!$AU$57</f>
        <v/>
      </c>
      <c r="F7" s="740" t="str">
        <f>NeoBerInfB!$AU$56</f>
        <v/>
      </c>
      <c r="G7" s="740" t="str">
        <f>NeoBerInfB!$AU$58</f>
        <v/>
      </c>
      <c r="H7" s="740"/>
      <c r="I7" s="737" t="s">
        <v>246</v>
      </c>
      <c r="J7" s="740" t="str">
        <f>NeoBerInfB!$AP$57</f>
        <v/>
      </c>
      <c r="K7" s="740" t="str">
        <f>NeoBerInfB!$AP$56</f>
        <v/>
      </c>
      <c r="L7" s="740" t="str">
        <f>NeoBerInfB!$AP$58</f>
        <v/>
      </c>
      <c r="M7" s="740" t="str">
        <f>IF(_Glob_Lab_Magnesium&gt;0,_Glob_Lab_Magnesium,"")</f>
        <v/>
      </c>
      <c r="N7" s="737" t="s">
        <v>741</v>
      </c>
      <c r="O7" s="740" t="str">
        <f>NeoBerInfB!$AX$57</f>
        <v/>
      </c>
      <c r="P7" s="740" t="str">
        <f>NeoBerInfB!$AX$56</f>
        <v/>
      </c>
      <c r="Q7" s="740" t="str">
        <f>NeoBerInfB!$AX$58</f>
        <v/>
      </c>
      <c r="R7" s="740" t="str">
        <f>IF(_Glob_Lab_Ijzer&gt;0,_Glob_Lab_Ijzer,"")</f>
        <v/>
      </c>
    </row>
    <row r="8" spans="1:18" ht="8.1" customHeight="1" x14ac:dyDescent="0.2">
      <c r="C8" s="465"/>
      <c r="E8" s="471"/>
      <c r="F8" s="471"/>
      <c r="G8" s="471"/>
      <c r="J8" s="471"/>
      <c r="K8" s="471"/>
      <c r="L8" s="471"/>
    </row>
    <row r="9" spans="1:18" ht="20.100000000000001" customHeight="1" x14ac:dyDescent="0.2">
      <c r="C9" s="916" t="str">
        <f>NeoBerInfB!B3</f>
        <v>17:00 uur Afspraken</v>
      </c>
      <c r="D9" s="916"/>
      <c r="E9" s="916"/>
      <c r="F9" s="916"/>
      <c r="G9" s="916"/>
      <c r="H9" s="724" t="s">
        <v>4545</v>
      </c>
      <c r="I9" s="725" t="str">
        <f>Txt_Pat_PatNo</f>
        <v/>
      </c>
      <c r="J9" s="725"/>
      <c r="K9" s="724"/>
      <c r="L9" s="724"/>
      <c r="M9" s="724" t="s">
        <v>213</v>
      </c>
      <c r="N9" s="724" t="str">
        <f ca="1">Txt_Pat_Leeftijd</f>
        <v/>
      </c>
      <c r="O9" s="726"/>
      <c r="P9" s="724" t="s">
        <v>4547</v>
      </c>
      <c r="Q9" s="725" t="str">
        <f ca="1">Txt_Pat_GeboorteDat</f>
        <v/>
      </c>
      <c r="R9" s="724"/>
    </row>
    <row r="10" spans="1:18" ht="20.100000000000001" customHeight="1" x14ac:dyDescent="0.2">
      <c r="C10" s="916"/>
      <c r="D10" s="916"/>
      <c r="E10" s="916"/>
      <c r="F10" s="916"/>
      <c r="G10" s="916"/>
      <c r="H10" s="724" t="s">
        <v>27</v>
      </c>
      <c r="I10" s="724" t="str">
        <f>Txt_Pat_FullName</f>
        <v/>
      </c>
      <c r="J10" s="724"/>
      <c r="K10" s="727"/>
      <c r="L10" s="728"/>
      <c r="M10" s="724" t="s">
        <v>410</v>
      </c>
      <c r="N10" s="724" t="str">
        <f>IF(_Pat_Gewicht&gt;0,FixPrecision((_Pat_Gewicht/10),4)&amp;" kg","")</f>
        <v/>
      </c>
      <c r="O10" s="724"/>
      <c r="P10" s="724" t="s">
        <v>4548</v>
      </c>
      <c r="Q10" s="725" t="str">
        <f>Txt_Pat_GestAge</f>
        <v/>
      </c>
      <c r="R10" s="724"/>
    </row>
    <row r="11" spans="1:18" ht="20.100000000000001" customHeight="1" x14ac:dyDescent="0.2">
      <c r="C11" s="916"/>
      <c r="D11" s="916"/>
      <c r="E11" s="916"/>
      <c r="F11" s="916"/>
      <c r="G11" s="916"/>
      <c r="H11" s="724" t="s">
        <v>235</v>
      </c>
      <c r="I11" s="724" t="str">
        <f ca="1">Txt_Pat_AfspraakDat</f>
        <v>24-sep-2017</v>
      </c>
      <c r="J11" s="729"/>
      <c r="K11" s="724"/>
      <c r="L11" s="724"/>
      <c r="M11" s="724" t="s">
        <v>570</v>
      </c>
      <c r="N11" s="724" t="str">
        <f>Txt_Pat_OpnameDat</f>
        <v/>
      </c>
      <c r="O11" s="724"/>
      <c r="P11" s="729" t="s">
        <v>4926</v>
      </c>
      <c r="Q11" s="725" t="str">
        <f>Txt_Pat_GebGew</f>
        <v/>
      </c>
      <c r="R11" s="724"/>
    </row>
    <row r="12" spans="1:18" ht="20.100000000000001" customHeight="1" x14ac:dyDescent="0.2">
      <c r="C12" s="916"/>
      <c r="D12" s="916"/>
      <c r="E12" s="916"/>
      <c r="F12" s="916"/>
      <c r="G12" s="916"/>
      <c r="H12" s="724" t="s">
        <v>399</v>
      </c>
      <c r="I12" s="724" t="str">
        <f>Txt_Pat_Bed</f>
        <v/>
      </c>
      <c r="J12" s="728"/>
      <c r="K12" s="724"/>
      <c r="L12" s="724"/>
      <c r="M12" s="724" t="s">
        <v>5390</v>
      </c>
      <c r="N12" s="724" t="str">
        <f>Txt_Pat_Geslacht</f>
        <v>onbekend</v>
      </c>
      <c r="O12" s="730"/>
      <c r="P12" s="725"/>
      <c r="Q12" s="730"/>
      <c r="R12" s="725"/>
    </row>
    <row r="13" spans="1:18" ht="8.1" customHeight="1" x14ac:dyDescent="0.2"/>
    <row r="14" spans="1:18" ht="20.100000000000001" customHeight="1" x14ac:dyDescent="0.2">
      <c r="C14" s="731" t="s">
        <v>4299</v>
      </c>
      <c r="D14" s="732"/>
      <c r="E14" s="732"/>
      <c r="F14" s="732"/>
      <c r="G14" s="732"/>
      <c r="H14" s="732"/>
      <c r="I14" s="732"/>
      <c r="J14" s="732"/>
      <c r="K14" s="732"/>
      <c r="L14" s="732"/>
      <c r="M14" s="732"/>
      <c r="N14" s="732"/>
      <c r="O14" s="732"/>
      <c r="P14" s="732"/>
      <c r="Q14" s="732"/>
      <c r="R14" s="732"/>
    </row>
    <row r="15" spans="1:18" ht="20.100000000000001" customHeight="1" x14ac:dyDescent="0.2">
      <c r="A15" s="467" t="str">
        <f>NeoBerInfB!AI7</f>
        <v>verw</v>
      </c>
      <c r="C15" s="716"/>
      <c r="D15" s="716" t="s">
        <v>434</v>
      </c>
      <c r="E15" s="716"/>
      <c r="F15" s="639" t="str">
        <f>NeoBerInfB!Q7</f>
        <v/>
      </c>
      <c r="G15" s="466" t="s">
        <v>435</v>
      </c>
      <c r="I15" s="717" t="s">
        <v>436</v>
      </c>
      <c r="L15" s="778" t="s">
        <v>433</v>
      </c>
      <c r="M15" s="464" t="str">
        <f ca="1">ROUND(NeoBerInfB!B7,0)&amp;" ml/ kg/ 24 uur"</f>
        <v>160 ml/ kg/ 24 uur</v>
      </c>
    </row>
    <row r="16" spans="1:18" ht="8.1" customHeight="1" x14ac:dyDescent="0.2">
      <c r="M16" s="464"/>
      <c r="N16" s="464"/>
    </row>
    <row r="17" spans="1:18" ht="20.100000000000001" customHeight="1" thickBot="1" x14ac:dyDescent="0.25">
      <c r="A17" s="467" t="str">
        <f>NeoBerInfB!AI9</f>
        <v/>
      </c>
      <c r="C17" s="718" t="s">
        <v>439</v>
      </c>
      <c r="D17" s="716"/>
      <c r="G17" s="716" t="s">
        <v>437</v>
      </c>
      <c r="H17" s="550" t="str">
        <f>IF(Var_Neo_InfB_Ent_Voeding&gt;1,NeoBerInfB!F9,"")</f>
        <v/>
      </c>
      <c r="I17" s="719" t="s">
        <v>438</v>
      </c>
      <c r="J17" s="639" t="str">
        <f>IF(Var_Neo_InfB_Ent_Voeding&gt;1,NeoBerInfB!G9/10&amp;" ml","")</f>
        <v/>
      </c>
      <c r="L17" s="716" t="s">
        <v>727</v>
      </c>
      <c r="M17" s="716"/>
      <c r="N17" s="716"/>
      <c r="P17" s="716" t="s">
        <v>728</v>
      </c>
      <c r="Q17" s="716"/>
      <c r="R17" s="716"/>
    </row>
    <row r="18" spans="1:18" ht="20.100000000000001" customHeight="1" thickTop="1" thickBot="1" x14ac:dyDescent="0.25">
      <c r="E18" s="467"/>
      <c r="G18" s="716" t="s">
        <v>440</v>
      </c>
      <c r="H18" s="545" t="str">
        <f>IF(Var_Neo_InfB_Ent_Voeding&gt;1,NeoBerInfB!F10,"")</f>
        <v/>
      </c>
      <c r="I18" s="719" t="s">
        <v>438</v>
      </c>
      <c r="J18" s="641" t="str">
        <f>IF(Var_Neo_InfB_Ent_Voeding&gt;1,NeoBerInfB!G10/10&amp;" ml","")</f>
        <v/>
      </c>
      <c r="L18" s="716" t="s">
        <v>739</v>
      </c>
      <c r="M18" s="716"/>
      <c r="N18" s="551" t="str">
        <f>NeoBerInfB!M11</f>
        <v/>
      </c>
    </row>
    <row r="19" spans="1:18" ht="20.100000000000001" customHeight="1" thickTop="1" thickBot="1" x14ac:dyDescent="0.25">
      <c r="E19" s="467"/>
      <c r="N19" s="546" t="str">
        <f>NeoBerInfB!M12</f>
        <v/>
      </c>
      <c r="R19" s="551" t="str">
        <f>NeoBerInfB!M16</f>
        <v/>
      </c>
    </row>
    <row r="20" spans="1:18" ht="20.100000000000001" customHeight="1" thickTop="1" thickBot="1" x14ac:dyDescent="0.25">
      <c r="N20" s="546" t="str">
        <f>NeoBerInfB!M13</f>
        <v/>
      </c>
      <c r="R20" s="546" t="str">
        <f>NeoBerInfB!M17</f>
        <v/>
      </c>
    </row>
    <row r="21" spans="1:18" ht="20.100000000000001" customHeight="1" thickTop="1" thickBot="1" x14ac:dyDescent="0.25">
      <c r="N21" s="546" t="str">
        <f>NeoBerInfB!M14</f>
        <v/>
      </c>
      <c r="R21" s="546" t="str">
        <f>NeoBerInfB!M18</f>
        <v/>
      </c>
    </row>
    <row r="22" spans="1:18" ht="20.100000000000001" customHeight="1" thickTop="1" thickBot="1" x14ac:dyDescent="0.25">
      <c r="F22" s="466" t="s">
        <v>441</v>
      </c>
      <c r="H22" s="466">
        <f ca="1">IF(NeoBerInfB!B21,NeoBerInfB!C21,NeoBerInfB!AX53)</f>
        <v>0</v>
      </c>
      <c r="I22" s="466" t="s">
        <v>442</v>
      </c>
      <c r="N22" s="547" t="str">
        <f>NeoBerInfB!M15</f>
        <v/>
      </c>
      <c r="R22" s="547" t="str">
        <f>NeoBerInfB!M19</f>
        <v/>
      </c>
    </row>
    <row r="23" spans="1:18" ht="8.1" customHeight="1" thickTop="1" x14ac:dyDescent="0.2">
      <c r="N23" s="473"/>
      <c r="R23" s="473"/>
    </row>
    <row r="24" spans="1:18" ht="20.100000000000001" customHeight="1" x14ac:dyDescent="0.2">
      <c r="C24" s="731" t="s">
        <v>4300</v>
      </c>
      <c r="D24" s="732"/>
      <c r="E24" s="732"/>
      <c r="F24" s="732"/>
      <c r="G24" s="732"/>
      <c r="H24" s="732"/>
      <c r="I24" s="732"/>
      <c r="J24" s="732"/>
      <c r="K24" s="732"/>
      <c r="L24" s="732"/>
      <c r="M24" s="732"/>
      <c r="N24" s="732"/>
      <c r="O24" s="732"/>
      <c r="P24" s="732"/>
      <c r="Q24" s="732"/>
      <c r="R24" s="732"/>
    </row>
    <row r="25" spans="1:18" ht="20.100000000000001" customHeight="1" x14ac:dyDescent="0.2">
      <c r="C25" s="475"/>
      <c r="D25" s="475"/>
      <c r="E25" s="475"/>
      <c r="F25" s="475"/>
      <c r="G25" s="475"/>
      <c r="H25" s="475"/>
      <c r="I25" s="475"/>
      <c r="J25" s="475"/>
      <c r="K25" s="475"/>
      <c r="L25" s="716" t="s">
        <v>4974</v>
      </c>
      <c r="M25" s="716"/>
      <c r="N25" s="719" t="s">
        <v>405</v>
      </c>
      <c r="O25" s="716" t="s">
        <v>443</v>
      </c>
      <c r="P25" s="716"/>
      <c r="Q25" s="716"/>
      <c r="R25" s="716" t="s">
        <v>444</v>
      </c>
    </row>
    <row r="26" spans="1:18" ht="20.100000000000001" customHeight="1" x14ac:dyDescent="0.2">
      <c r="A26" s="467" t="str">
        <f>NeoBerInfB!AI22</f>
        <v/>
      </c>
      <c r="C26" s="716"/>
      <c r="D26" s="716" t="s">
        <v>581</v>
      </c>
      <c r="E26" s="716"/>
      <c r="F26" s="716"/>
      <c r="G26" s="716"/>
      <c r="H26" s="475"/>
      <c r="I26" s="475"/>
      <c r="J26" s="475"/>
      <c r="K26" s="639" t="str">
        <f>NeoBerInfB!Q22</f>
        <v/>
      </c>
    </row>
    <row r="27" spans="1:18" ht="7.5" customHeight="1" x14ac:dyDescent="0.2">
      <c r="C27" s="475"/>
      <c r="K27" s="464"/>
    </row>
    <row r="28" spans="1:18" ht="20.100000000000001" customHeight="1" thickBot="1" x14ac:dyDescent="0.25">
      <c r="A28" s="476" t="str">
        <f>NeoBerInfB!AI23</f>
        <v/>
      </c>
      <c r="B28" s="476" t="str">
        <f>NeoBerInfB!AJ23</f>
        <v/>
      </c>
      <c r="C28" s="716">
        <v>1</v>
      </c>
      <c r="G28" s="552" t="str">
        <f>NeoBerInfB!M23</f>
        <v/>
      </c>
      <c r="H28" s="552" t="str">
        <f>NeoBerInfB!O23</f>
        <v/>
      </c>
      <c r="K28" s="639" t="str">
        <f>NeoBerInfB!Q23</f>
        <v/>
      </c>
      <c r="L28" s="472" t="str">
        <f>IF(NeoBerInfB!G23&gt;0,NeoBerInfB!G23,"")</f>
        <v/>
      </c>
      <c r="M28" s="472" t="str">
        <f>NeoBerInfB!R23</f>
        <v/>
      </c>
      <c r="O28" s="464" t="str">
        <f>NeoBerInfB!S23</f>
        <v/>
      </c>
      <c r="P28" s="464"/>
      <c r="Q28" s="474"/>
      <c r="R28" s="464" t="str">
        <f>NeoBerInfB!Z23</f>
        <v/>
      </c>
    </row>
    <row r="29" spans="1:18" ht="20.100000000000001" customHeight="1" thickTop="1" thickBot="1" x14ac:dyDescent="0.25">
      <c r="A29" s="476" t="str">
        <f>NeoBerInfB!AI24</f>
        <v/>
      </c>
      <c r="B29" s="476" t="str">
        <f>NeoBerInfB!AJ24</f>
        <v/>
      </c>
      <c r="C29" s="716">
        <v>2</v>
      </c>
      <c r="G29" s="548" t="str">
        <f>NeoBerInfB!M24</f>
        <v/>
      </c>
      <c r="H29" s="548" t="str">
        <f>NeoBerInfB!O24</f>
        <v/>
      </c>
      <c r="K29" s="640" t="str">
        <f>NeoBerInfB!Q24</f>
        <v/>
      </c>
      <c r="L29" s="472" t="str">
        <f>IF(NeoBerInfB!G24&gt;0,NeoBerInfB!G24,"")</f>
        <v/>
      </c>
      <c r="M29" s="472" t="str">
        <f>NeoBerInfB!R24</f>
        <v/>
      </c>
      <c r="O29" s="464" t="str">
        <f>NeoBerInfB!S24</f>
        <v/>
      </c>
      <c r="P29" s="464"/>
      <c r="Q29" s="474"/>
      <c r="R29" s="464" t="str">
        <f>NeoBerInfB!Z24</f>
        <v/>
      </c>
    </row>
    <row r="30" spans="1:18" ht="20.100000000000001" customHeight="1" thickTop="1" thickBot="1" x14ac:dyDescent="0.25">
      <c r="A30" s="476" t="str">
        <f>NeoBerInfB!AI25</f>
        <v/>
      </c>
      <c r="B30" s="476" t="str">
        <f>NeoBerInfB!AJ25</f>
        <v/>
      </c>
      <c r="C30" s="716">
        <v>3</v>
      </c>
      <c r="G30" s="548" t="str">
        <f>NeoBerInfB!M25</f>
        <v/>
      </c>
      <c r="H30" s="548" t="str">
        <f>NeoBerInfB!O25</f>
        <v/>
      </c>
      <c r="K30" s="640" t="str">
        <f>NeoBerInfB!Q25</f>
        <v/>
      </c>
      <c r="L30" s="472" t="str">
        <f>IF(NeoBerInfB!G25&gt;0,NeoBerInfB!G25,"")</f>
        <v/>
      </c>
      <c r="M30" s="472" t="str">
        <f>NeoBerInfB!R25</f>
        <v/>
      </c>
      <c r="O30" s="464" t="str">
        <f>NeoBerInfB!S25</f>
        <v/>
      </c>
      <c r="P30" s="464"/>
      <c r="Q30" s="474"/>
      <c r="R30" s="464" t="str">
        <f>NeoBerInfB!Z25</f>
        <v/>
      </c>
    </row>
    <row r="31" spans="1:18" ht="20.100000000000001" customHeight="1" thickTop="1" thickBot="1" x14ac:dyDescent="0.25">
      <c r="A31" s="476" t="str">
        <f>NeoBerInfB!AI26</f>
        <v/>
      </c>
      <c r="B31" s="476" t="str">
        <f>NeoBerInfB!AJ26</f>
        <v/>
      </c>
      <c r="C31" s="716">
        <v>4</v>
      </c>
      <c r="G31" s="548" t="str">
        <f>NeoBerInfB!M26</f>
        <v/>
      </c>
      <c r="H31" s="548" t="str">
        <f>NeoBerInfB!O26</f>
        <v/>
      </c>
      <c r="K31" s="640" t="str">
        <f>NeoBerInfB!Q26</f>
        <v/>
      </c>
      <c r="L31" s="472" t="str">
        <f>IF(NeoBerInfB!G26&gt;0,NeoBerInfB!G26,"")</f>
        <v/>
      </c>
      <c r="M31" s="472" t="str">
        <f>NeoBerInfB!R26</f>
        <v/>
      </c>
      <c r="O31" s="464" t="str">
        <f>NeoBerInfB!S26</f>
        <v/>
      </c>
      <c r="P31" s="464"/>
      <c r="Q31" s="474"/>
      <c r="R31" s="464" t="str">
        <f>NeoBerInfB!Z26</f>
        <v/>
      </c>
    </row>
    <row r="32" spans="1:18" ht="20.100000000000001" customHeight="1" thickTop="1" thickBot="1" x14ac:dyDescent="0.25">
      <c r="A32" s="476" t="str">
        <f>NeoBerInfB!AI27</f>
        <v/>
      </c>
      <c r="B32" s="476" t="str">
        <f>NeoBerInfB!AJ27</f>
        <v/>
      </c>
      <c r="C32" s="716">
        <v>5</v>
      </c>
      <c r="G32" s="548" t="str">
        <f>NeoBerInfB!M27</f>
        <v/>
      </c>
      <c r="H32" s="548" t="str">
        <f>NeoBerInfB!O27</f>
        <v/>
      </c>
      <c r="K32" s="640" t="str">
        <f>NeoBerInfB!Q27</f>
        <v/>
      </c>
      <c r="L32" s="472" t="str">
        <f>IF(NeoBerInfB!G27&gt;0,NeoBerInfB!G27,"")</f>
        <v/>
      </c>
      <c r="M32" s="472" t="str">
        <f>NeoBerInfB!R27</f>
        <v/>
      </c>
      <c r="O32" s="464" t="str">
        <f>NeoBerInfB!S27</f>
        <v/>
      </c>
      <c r="P32" s="464"/>
      <c r="Q32" s="474"/>
      <c r="R32" s="464" t="str">
        <f>NeoBerInfB!Z27</f>
        <v/>
      </c>
    </row>
    <row r="33" spans="1:18" ht="20.100000000000001" customHeight="1" thickTop="1" thickBot="1" x14ac:dyDescent="0.25">
      <c r="A33" s="476" t="str">
        <f>NeoBerInfB!AI28</f>
        <v/>
      </c>
      <c r="B33" s="476" t="str">
        <f>NeoBerInfB!AJ28</f>
        <v/>
      </c>
      <c r="C33" s="716">
        <v>6</v>
      </c>
      <c r="G33" s="548" t="str">
        <f>NeoBerInfB!M28</f>
        <v/>
      </c>
      <c r="H33" s="548" t="str">
        <f>NeoBerInfB!O28</f>
        <v/>
      </c>
      <c r="K33" s="640" t="str">
        <f>NeoBerInfB!Q28</f>
        <v/>
      </c>
      <c r="L33" s="472" t="str">
        <f>IF(NeoBerInfB!G28&gt;0,NeoBerInfB!G28,"")</f>
        <v/>
      </c>
      <c r="M33" s="472" t="str">
        <f>NeoBerInfB!R28</f>
        <v/>
      </c>
      <c r="O33" s="464" t="str">
        <f>NeoBerInfB!S28</f>
        <v/>
      </c>
      <c r="P33" s="464"/>
      <c r="Q33" s="474"/>
      <c r="R33" s="464" t="str">
        <f>NeoBerInfB!Z28</f>
        <v/>
      </c>
    </row>
    <row r="34" spans="1:18" ht="20.100000000000001" customHeight="1" thickTop="1" thickBot="1" x14ac:dyDescent="0.25">
      <c r="A34" s="476" t="str">
        <f>NeoBerInfB!AI29</f>
        <v/>
      </c>
      <c r="B34" s="476" t="str">
        <f>NeoBerInfB!AJ29</f>
        <v/>
      </c>
      <c r="C34" s="716">
        <v>7</v>
      </c>
      <c r="G34" s="548" t="str">
        <f>NeoBerInfB!M29</f>
        <v/>
      </c>
      <c r="H34" s="548" t="str">
        <f>NeoBerInfB!O29</f>
        <v/>
      </c>
      <c r="K34" s="640" t="str">
        <f>NeoBerInfB!Q29</f>
        <v/>
      </c>
      <c r="L34" s="472" t="str">
        <f>IF(NeoBerInfB!G29&gt;0,NeoBerInfB!G29,"")</f>
        <v/>
      </c>
      <c r="M34" s="472" t="str">
        <f>NeoBerInfB!R29</f>
        <v/>
      </c>
      <c r="O34" s="464" t="str">
        <f>NeoBerInfB!S29</f>
        <v/>
      </c>
      <c r="P34" s="464"/>
      <c r="Q34" s="474"/>
      <c r="R34" s="464" t="str">
        <f>NeoBerInfB!Z29</f>
        <v/>
      </c>
    </row>
    <row r="35" spans="1:18" ht="20.100000000000001" customHeight="1" thickTop="1" thickBot="1" x14ac:dyDescent="0.25">
      <c r="A35" s="476" t="str">
        <f>NeoBerInfB!AI30</f>
        <v/>
      </c>
      <c r="B35" s="476" t="str">
        <f>NeoBerInfB!AJ30</f>
        <v/>
      </c>
      <c r="C35" s="716">
        <v>8</v>
      </c>
      <c r="G35" s="548" t="str">
        <f>NeoBerInfB!M30</f>
        <v/>
      </c>
      <c r="H35" s="548" t="str">
        <f>NeoBerInfB!O30</f>
        <v/>
      </c>
      <c r="K35" s="640" t="str">
        <f>NeoBerInfB!Q30</f>
        <v/>
      </c>
      <c r="L35" s="472" t="str">
        <f>IF(NeoBerInfB!G30&gt;0,NeoBerInfB!G30,"")</f>
        <v/>
      </c>
      <c r="M35" s="472" t="str">
        <f>NeoBerInfB!R30</f>
        <v/>
      </c>
      <c r="O35" s="464" t="str">
        <f>NeoBerInfB!S30</f>
        <v/>
      </c>
      <c r="P35" s="464"/>
      <c r="Q35" s="474"/>
      <c r="R35" s="464" t="str">
        <f>NeoBerInfB!Z30</f>
        <v/>
      </c>
    </row>
    <row r="36" spans="1:18" ht="20.100000000000001" customHeight="1" thickTop="1" thickBot="1" x14ac:dyDescent="0.25">
      <c r="A36" s="476" t="str">
        <f>NeoBerInfB!AI31</f>
        <v/>
      </c>
      <c r="B36" s="476" t="str">
        <f>NeoBerInfB!AJ31</f>
        <v/>
      </c>
      <c r="C36" s="716">
        <v>9</v>
      </c>
      <c r="G36" s="548" t="str">
        <f>NeoBerInfB!M31</f>
        <v/>
      </c>
      <c r="H36" s="548" t="str">
        <f>NeoBerInfB!O31</f>
        <v/>
      </c>
      <c r="K36" s="640" t="str">
        <f>NeoBerInfB!Q31</f>
        <v/>
      </c>
      <c r="L36" s="472" t="str">
        <f>IF(NeoBerInfB!G31&gt;0,NeoBerInfB!G31,"")</f>
        <v/>
      </c>
      <c r="M36" s="472" t="str">
        <f>NeoBerInfB!R31</f>
        <v/>
      </c>
      <c r="O36" s="464" t="str">
        <f>NeoBerInfB!S31</f>
        <v/>
      </c>
      <c r="P36" s="464"/>
      <c r="Q36" s="474"/>
      <c r="R36" s="464" t="str">
        <f>NeoBerInfB!Z31</f>
        <v/>
      </c>
    </row>
    <row r="37" spans="1:18" ht="20.100000000000001" customHeight="1" thickTop="1" thickBot="1" x14ac:dyDescent="0.25">
      <c r="A37" s="476" t="str">
        <f>NeoBerInfB!AI32</f>
        <v/>
      </c>
      <c r="B37" s="476" t="str">
        <f>NeoBerInfB!AJ32</f>
        <v/>
      </c>
      <c r="C37" s="716">
        <v>10</v>
      </c>
      <c r="G37" s="549" t="str">
        <f>NeoBerInfB!M32</f>
        <v/>
      </c>
      <c r="H37" s="549" t="str">
        <f>NeoBerInfB!O32</f>
        <v/>
      </c>
      <c r="K37" s="641" t="str">
        <f>NeoBerInfB!Q32</f>
        <v/>
      </c>
      <c r="L37" s="472" t="str">
        <f>IF(NeoBerInfB!G32&gt;0,NeoBerInfB!G32,"")</f>
        <v/>
      </c>
      <c r="M37" s="472" t="str">
        <f>NeoBerInfB!R32</f>
        <v/>
      </c>
      <c r="O37" s="464" t="str">
        <f>NeoBerInfB!S32</f>
        <v/>
      </c>
      <c r="P37" s="464"/>
      <c r="Q37" s="474"/>
      <c r="R37" s="464" t="str">
        <f>NeoBerInfB!Z32</f>
        <v/>
      </c>
    </row>
    <row r="38" spans="1:18" ht="9.75" customHeight="1" thickTop="1" x14ac:dyDescent="0.2">
      <c r="E38" s="472"/>
      <c r="F38" s="472"/>
      <c r="I38" s="464"/>
      <c r="J38" s="472"/>
      <c r="M38" s="464"/>
      <c r="N38" s="464"/>
      <c r="O38" s="474"/>
      <c r="P38" s="464"/>
    </row>
    <row r="39" spans="1:18" ht="20.100000000000001" customHeight="1" thickBot="1" x14ac:dyDescent="0.25">
      <c r="A39" s="467" t="str">
        <f>NeoBerInfB!AI33</f>
        <v/>
      </c>
      <c r="C39" s="716">
        <v>11</v>
      </c>
      <c r="D39" s="718" t="s">
        <v>445</v>
      </c>
      <c r="E39" s="472"/>
      <c r="F39" s="472"/>
      <c r="I39" s="472"/>
      <c r="J39" s="472"/>
      <c r="K39" s="639" t="str">
        <f>IF(NeoBerInfB!F33/10&gt;0,NeoBerInfB!F33/10&amp;" ml/uur","")</f>
        <v/>
      </c>
      <c r="L39" s="472" t="str">
        <f>IF(NeoBerInfB!G36&gt;0,"= "&amp;ROUND(NeoBerInfB!G36,2),"")</f>
        <v/>
      </c>
      <c r="M39" s="472"/>
      <c r="O39" s="474"/>
      <c r="P39" s="464"/>
    </row>
    <row r="40" spans="1:18" ht="20.100000000000001" customHeight="1" thickTop="1" thickBot="1" x14ac:dyDescent="0.25">
      <c r="A40" s="467" t="str">
        <f>NeoBerInfB!AI34</f>
        <v/>
      </c>
      <c r="C40" s="716">
        <v>12</v>
      </c>
      <c r="D40" s="718" t="s">
        <v>446</v>
      </c>
      <c r="E40" s="472"/>
      <c r="F40" s="472"/>
      <c r="I40" s="472"/>
      <c r="J40" s="472"/>
      <c r="K40" s="640" t="str">
        <f>IF(NeoBerInfB!F34/10&gt;0,NeoBerInfB!F34/10&amp;" ml/uur","")</f>
        <v/>
      </c>
      <c r="L40" s="472" t="str">
        <f>IF(NeoBerInfB!G37&gt;0,"= "&amp;ROUND(NeoBerInfB!G37,2),"")</f>
        <v/>
      </c>
      <c r="M40" s="472"/>
      <c r="O40" s="474"/>
      <c r="P40" s="464"/>
    </row>
    <row r="41" spans="1:18" ht="20.100000000000001" customHeight="1" thickTop="1" thickBot="1" x14ac:dyDescent="0.25">
      <c r="A41" s="467" t="str">
        <f>NeoBerInfB!AI35</f>
        <v/>
      </c>
      <c r="C41" s="716">
        <v>13</v>
      </c>
      <c r="D41" s="718" t="s">
        <v>447</v>
      </c>
      <c r="E41" s="472"/>
      <c r="F41" s="472"/>
      <c r="I41" s="472"/>
      <c r="J41" s="472"/>
      <c r="K41" s="640" t="str">
        <f>IF(NeoBerInfB!F35/10&gt;0,NeoBerInfB!F35/10&amp;" ml/uur","")</f>
        <v/>
      </c>
      <c r="L41" s="472" t="str">
        <f>IF(NeoBerInfB!G39&gt;0,"= "&amp;ROUND(NeoBerInfB!G39,2),"")</f>
        <v/>
      </c>
      <c r="M41" s="472"/>
      <c r="O41" s="474"/>
      <c r="P41" s="464"/>
    </row>
    <row r="42" spans="1:18" ht="20.100000000000001" customHeight="1" thickTop="1" thickBot="1" x14ac:dyDescent="0.25">
      <c r="A42" s="467" t="str">
        <f>NeoBerInfB!AI36</f>
        <v/>
      </c>
      <c r="C42" s="716">
        <v>14</v>
      </c>
      <c r="D42" s="917" t="str">
        <f>IF(Var_Neo_InfB_Cont_MedTekst_1="","",Var_Neo_InfB_Cont_MedTekst_1)</f>
        <v/>
      </c>
      <c r="E42" s="917"/>
      <c r="F42" s="917"/>
      <c r="G42" s="917"/>
      <c r="H42" s="917"/>
      <c r="I42" s="917"/>
      <c r="J42" s="917"/>
      <c r="K42" s="918"/>
      <c r="L42" s="917"/>
      <c r="M42" s="917"/>
      <c r="N42" s="498"/>
      <c r="O42" s="498"/>
      <c r="P42" s="498"/>
      <c r="Q42" s="498"/>
      <c r="R42" s="498"/>
    </row>
    <row r="43" spans="1:18" ht="20.100000000000001" customHeight="1" thickTop="1" thickBot="1" x14ac:dyDescent="0.25">
      <c r="A43" s="467" t="str">
        <f>NeoBerInfB!AI37</f>
        <v/>
      </c>
      <c r="C43" s="716">
        <v>15</v>
      </c>
      <c r="D43" s="919" t="str">
        <f>IF(Var_Neo_InfB_Cont_MedTekst_2="","",Var_Neo_InfB_Cont_MedTekst_2)</f>
        <v/>
      </c>
      <c r="E43" s="919"/>
      <c r="F43" s="919"/>
      <c r="G43" s="919"/>
      <c r="H43" s="919"/>
      <c r="I43" s="919"/>
      <c r="J43" s="919"/>
      <c r="K43" s="919"/>
      <c r="L43" s="919"/>
      <c r="M43" s="919"/>
      <c r="N43" s="498"/>
      <c r="O43" s="498"/>
      <c r="P43" s="498"/>
      <c r="Q43" s="498"/>
      <c r="R43" s="498"/>
    </row>
    <row r="44" spans="1:18" ht="8.1" customHeight="1" thickTop="1" x14ac:dyDescent="0.2">
      <c r="D44" s="464"/>
      <c r="E44" s="472"/>
      <c r="F44" s="472"/>
      <c r="I44" s="472"/>
      <c r="J44" s="472"/>
      <c r="K44" s="472"/>
      <c r="L44" s="472"/>
      <c r="M44" s="472"/>
      <c r="O44" s="474"/>
      <c r="P44" s="464"/>
    </row>
    <row r="45" spans="1:18" ht="20.100000000000001" customHeight="1" x14ac:dyDescent="0.2">
      <c r="C45" s="732" t="s">
        <v>4301</v>
      </c>
      <c r="D45" s="733"/>
      <c r="E45" s="734"/>
      <c r="F45" s="734"/>
      <c r="G45" s="732"/>
      <c r="H45" s="732"/>
      <c r="I45" s="734"/>
      <c r="J45" s="734"/>
      <c r="K45" s="734"/>
      <c r="L45" s="734"/>
      <c r="M45" s="734"/>
      <c r="N45" s="732"/>
      <c r="O45" s="735"/>
      <c r="P45" s="733"/>
      <c r="Q45" s="732"/>
      <c r="R45" s="732"/>
    </row>
    <row r="46" spans="1:18" ht="8.1" customHeight="1" x14ac:dyDescent="0.2">
      <c r="H46" s="464"/>
    </row>
    <row r="47" spans="1:18" ht="20.100000000000001" customHeight="1" x14ac:dyDescent="0.2">
      <c r="A47" s="476" t="str">
        <f ca="1">NeoBerInfB!AI40</f>
        <v/>
      </c>
      <c r="B47" s="476" t="str">
        <f>NeoBerInfB!AJ40</f>
        <v>stand</v>
      </c>
      <c r="C47" s="716"/>
      <c r="F47" s="717"/>
      <c r="G47" s="639" t="str">
        <f ca="1">IF(NeoBerInfB!C40&gt;0,NeoBerInfB!C40&amp;" ml","")</f>
        <v/>
      </c>
      <c r="H47" s="472" t="str">
        <f ca="1">IF(G47&lt;&gt;"",ROUND(NeoBerInfB!C40/(_Pat_Gewicht/10),0)&amp;" ml/ kg","")</f>
        <v/>
      </c>
      <c r="L47" s="716" t="s">
        <v>433</v>
      </c>
      <c r="M47" s="464" t="str">
        <f ca="1">IF(NeoBerInfB!B40&gt;0,NeoBerInfB!B40&amp;" ml","")</f>
        <v/>
      </c>
      <c r="N47" s="464"/>
    </row>
    <row r="48" spans="1:18" ht="20.100000000000001" customHeight="1" x14ac:dyDescent="0.2">
      <c r="C48" s="475"/>
      <c r="D48" s="475"/>
      <c r="E48" s="475"/>
      <c r="F48" s="472"/>
      <c r="G48" s="464"/>
    </row>
    <row r="49" spans="1:18" ht="20.100000000000001" customHeight="1" x14ac:dyDescent="0.2">
      <c r="A49" s="476" t="str">
        <f ca="1">NeoBerInfB!AI39</f>
        <v/>
      </c>
      <c r="B49" s="467" t="str">
        <f>NeoBerInfB!AJ39</f>
        <v>stand</v>
      </c>
      <c r="C49" s="716"/>
      <c r="D49" s="716" t="s">
        <v>4303</v>
      </c>
      <c r="E49" s="716"/>
    </row>
    <row r="50" spans="1:18" ht="20.100000000000001" customHeight="1" x14ac:dyDescent="0.2">
      <c r="C50" s="716"/>
      <c r="D50" s="716"/>
      <c r="E50" s="716"/>
    </row>
    <row r="51" spans="1:18" ht="20.100000000000001" customHeight="1" thickBot="1" x14ac:dyDescent="0.25">
      <c r="C51" s="716"/>
      <c r="D51" s="716" t="s">
        <v>265</v>
      </c>
      <c r="E51" s="716"/>
      <c r="I51" s="639" t="str">
        <f>IF(NeoBerInfB!$D$41=2,NeoBerInfB!C42&amp;" ml","")</f>
        <v/>
      </c>
      <c r="K51" s="639" t="str">
        <f>IF(NeoBerInfB!$D$41=3,NeoBerInfB!C42&amp;" ml","")</f>
        <v/>
      </c>
      <c r="M51" s="464" t="str">
        <f ca="1">IF(NeoBerInfB!B42&gt;0,NeoBerInfB!B42&amp;" ml","")</f>
        <v/>
      </c>
      <c r="N51" s="464"/>
    </row>
    <row r="52" spans="1:18" ht="20.100000000000001" customHeight="1" thickTop="1" thickBot="1" x14ac:dyDescent="0.25">
      <c r="C52" s="716"/>
      <c r="D52" s="716" t="s">
        <v>449</v>
      </c>
      <c r="E52" s="716"/>
      <c r="I52" s="641" t="str">
        <f>IF(NeoBerInfB!$D$41=2,NeoBerInfB!C43&amp;" ml","")</f>
        <v/>
      </c>
      <c r="K52" s="640" t="str">
        <f>IF(NeoBerInfB!$D$41=3,NeoBerInfB!C43&amp;" ml","")</f>
        <v/>
      </c>
      <c r="M52" s="464" t="str">
        <f ca="1">IF(NeoBerInfB!B43&gt;0,NeoBerInfB!B43&amp;" ml","")</f>
        <v/>
      </c>
      <c r="N52" s="464"/>
    </row>
    <row r="53" spans="1:18" ht="20.100000000000001" customHeight="1" thickTop="1" thickBot="1" x14ac:dyDescent="0.25">
      <c r="C53" s="716"/>
      <c r="D53" s="716" t="s">
        <v>450</v>
      </c>
      <c r="E53" s="716"/>
      <c r="K53" s="640" t="str">
        <f>IF(NeoBerInfB!$D$41=3,NeoBerInfB!C44&amp;" ml","")</f>
        <v/>
      </c>
      <c r="M53" s="464" t="str">
        <f ca="1">IF(NeoBerInfB!B44&gt;0,NeoBerInfB!B44&amp;" ml","")</f>
        <v/>
      </c>
      <c r="N53" s="464"/>
    </row>
    <row r="54" spans="1:18" ht="20.100000000000001" customHeight="1" thickTop="1" thickBot="1" x14ac:dyDescent="0.25">
      <c r="C54" s="716"/>
      <c r="D54" s="716" t="s">
        <v>451</v>
      </c>
      <c r="E54" s="716"/>
      <c r="K54" s="640" t="str">
        <f>IF(NeoBerInfB!$D$41=3,NeoBerInfB!C45&amp;" ml","")</f>
        <v/>
      </c>
      <c r="M54" s="464" t="str">
        <f ca="1">IF(NeoBerInfB!B45&gt;0,NeoBerInfB!B45&amp;" ml","")</f>
        <v/>
      </c>
      <c r="N54" s="464"/>
    </row>
    <row r="55" spans="1:18" ht="20.100000000000001" customHeight="1" thickTop="1" thickBot="1" x14ac:dyDescent="0.25">
      <c r="C55" s="716"/>
      <c r="D55" s="716" t="s">
        <v>152</v>
      </c>
      <c r="E55" s="716"/>
      <c r="K55" s="640" t="str">
        <f>IF(NeoBerInfB!$D$41=3,NeoBerInfB!C46&amp;" ml","")</f>
        <v/>
      </c>
      <c r="M55" s="464" t="str">
        <f ca="1">IF(NeoBerInfB!B46&gt;0,NeoBerInfB!B46&amp;" ml","")</f>
        <v/>
      </c>
      <c r="N55" s="464"/>
    </row>
    <row r="56" spans="1:18" ht="20.100000000000001" customHeight="1" thickTop="1" thickBot="1" x14ac:dyDescent="0.25">
      <c r="C56" s="716"/>
      <c r="D56" s="716" t="s">
        <v>416</v>
      </c>
      <c r="E56" s="716"/>
      <c r="G56" s="795" t="str">
        <f ca="1">IF(NeoBerInfB!D41=1,NeoBerInfB!C47&amp;" ml","")</f>
        <v>0 ml</v>
      </c>
      <c r="I56" s="795" t="str">
        <f>IF(NeoBerInfB!$D$41=2,NeoBerInfB!C47&amp;" ml","")</f>
        <v/>
      </c>
      <c r="K56" s="641" t="str">
        <f>IF(NeoBerInfB!$D$41=3,NeoBerInfB!C47&amp;" ml","")</f>
        <v/>
      </c>
      <c r="M56" s="464" t="str">
        <f ca="1">IF(NeoBerInfB!B47&gt;0,NeoBerInfB!B47&amp;" ml","")</f>
        <v/>
      </c>
      <c r="N56" s="464"/>
    </row>
    <row r="57" spans="1:18" ht="20.100000000000001" customHeight="1" thickTop="1" x14ac:dyDescent="0.2">
      <c r="C57" s="716"/>
      <c r="D57" s="716" t="s">
        <v>417</v>
      </c>
      <c r="E57" s="716"/>
      <c r="G57" s="639" t="str">
        <f ca="1">IF(NeoBerInfB!D41=1,NeoBerInfB!C48&amp;" ml","")</f>
        <v>0 ml</v>
      </c>
      <c r="H57" s="469" t="e">
        <f ca="1">IF(G57&lt;&gt;"","("&amp;ROUND(NeoBerInfB!C48/(_Pat_Gewicht/10),0)&amp;" ml/kg)","")</f>
        <v>#DIV/0!</v>
      </c>
      <c r="M57" s="464" t="str">
        <f ca="1">IF(NeoBerInfB!B48&gt;0,NeoBerInfB!B48&amp;" ml","")</f>
        <v/>
      </c>
      <c r="N57" s="464"/>
    </row>
    <row r="58" spans="1:18" ht="20.100000000000001" customHeight="1" x14ac:dyDescent="0.2">
      <c r="C58" s="716"/>
      <c r="D58" s="716" t="s">
        <v>263</v>
      </c>
      <c r="E58" s="716"/>
      <c r="I58" s="639" t="str">
        <f>IF(NeoBerInfB!$D$41=2,NeoBerInfB!C49&amp;" ml","")</f>
        <v/>
      </c>
      <c r="J58" s="472" t="str">
        <f>IF(I58&lt;&gt;"","("&amp;ROUND(NeoBerInfB!C49/(_Pat_Gewicht/10),0)&amp;" ml/kg)","")</f>
        <v/>
      </c>
      <c r="M58" s="464" t="str">
        <f ca="1">IF(NeoBerInfB!B49&gt;0,NeoBerInfB!B49&amp;" ml","")</f>
        <v/>
      </c>
      <c r="N58" s="464"/>
    </row>
    <row r="59" spans="1:18" ht="20.100000000000001" customHeight="1" x14ac:dyDescent="0.2">
      <c r="C59" s="716"/>
      <c r="G59" s="469">
        <f>IF(NeoBerInfB!D41=1,NeoBerInfB!AL50,"")</f>
        <v>0</v>
      </c>
      <c r="H59" s="466" t="str">
        <f>IF(G59&lt;&gt;"","ml","")</f>
        <v>ml</v>
      </c>
      <c r="I59" s="469" t="str">
        <f>IF(NeoBerInfB!D41=2,NeoBerInfB!AL50,"")</f>
        <v/>
      </c>
      <c r="J59" s="466" t="str">
        <f>IF(I59&lt;&gt;"","ml","")</f>
        <v/>
      </c>
      <c r="K59" s="469" t="str">
        <f>IF(NeoBerInfB!D41=3,NeoBerInfB!AL50,"")</f>
        <v/>
      </c>
      <c r="L59" s="466" t="str">
        <f>IF(K59&lt;&gt;"","ml","")</f>
        <v/>
      </c>
      <c r="M59" s="464"/>
      <c r="N59" s="464"/>
    </row>
    <row r="60" spans="1:18" ht="20.100000000000001" customHeight="1" x14ac:dyDescent="0.2"/>
    <row r="61" spans="1:18" ht="20.100000000000001" customHeight="1" x14ac:dyDescent="0.2">
      <c r="C61" s="732"/>
      <c r="D61" s="732" t="s">
        <v>4302</v>
      </c>
      <c r="E61" s="736"/>
      <c r="F61" s="736"/>
      <c r="G61" s="736"/>
      <c r="H61" s="736"/>
      <c r="I61" s="736"/>
      <c r="J61" s="736"/>
      <c r="K61" s="736"/>
      <c r="L61" s="736"/>
      <c r="M61" s="732"/>
      <c r="N61" s="732"/>
      <c r="O61" s="732"/>
      <c r="P61" s="732"/>
      <c r="Q61" s="732"/>
      <c r="R61" s="732"/>
    </row>
    <row r="62" spans="1:18" ht="20.100000000000001" customHeight="1" x14ac:dyDescent="0.2">
      <c r="C62" s="722"/>
      <c r="D62" s="720" t="s">
        <v>89</v>
      </c>
      <c r="E62" s="721" t="s">
        <v>301</v>
      </c>
      <c r="F62" s="4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71"/>
      <c r="H62" s="471"/>
      <c r="I62" s="471"/>
      <c r="J62" s="471"/>
      <c r="K62" s="471"/>
      <c r="L62" s="471"/>
    </row>
    <row r="63" spans="1:18" ht="20.100000000000001" customHeight="1" x14ac:dyDescent="0.2">
      <c r="C63" s="722"/>
      <c r="D63" s="722"/>
      <c r="E63" s="721" t="s">
        <v>573</v>
      </c>
      <c r="F63" s="4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71"/>
      <c r="H63" s="471"/>
      <c r="I63" s="471"/>
      <c r="J63" s="471"/>
      <c r="K63" s="471"/>
      <c r="L63" s="471"/>
    </row>
    <row r="64" spans="1:18" ht="20.100000000000001" customHeight="1" x14ac:dyDescent="0.2">
      <c r="C64" s="722"/>
      <c r="D64" s="722"/>
      <c r="E64" s="721" t="s">
        <v>574</v>
      </c>
      <c r="F64" s="4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71"/>
      <c r="H64" s="471"/>
      <c r="I64" s="471"/>
      <c r="J64" s="471"/>
      <c r="K64" s="471"/>
      <c r="L64" s="471"/>
    </row>
    <row r="65" spans="1:18" ht="20.100000000000001" customHeight="1" x14ac:dyDescent="0.2">
      <c r="C65" s="722"/>
      <c r="D65" s="722"/>
      <c r="E65" s="721" t="s">
        <v>575</v>
      </c>
      <c r="F65" s="4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71"/>
      <c r="H65" s="471"/>
      <c r="I65" s="471"/>
      <c r="J65" s="471"/>
      <c r="K65" s="471"/>
      <c r="L65" s="471"/>
    </row>
    <row r="66" spans="1:18" ht="20.100000000000001" customHeight="1" x14ac:dyDescent="0.2">
      <c r="C66" s="722"/>
      <c r="D66" s="722"/>
      <c r="E66" s="721" t="s">
        <v>111</v>
      </c>
      <c r="F66" s="4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71"/>
      <c r="H66" s="471"/>
      <c r="I66" s="471"/>
      <c r="J66" s="471"/>
      <c r="K66" s="471"/>
      <c r="L66" s="471"/>
    </row>
    <row r="67" spans="1:18" ht="20.100000000000001" customHeight="1" x14ac:dyDescent="0.2">
      <c r="C67" s="722"/>
      <c r="D67" s="722"/>
      <c r="E67" s="721" t="s">
        <v>576</v>
      </c>
      <c r="F67" s="4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71"/>
      <c r="H67" s="471"/>
      <c r="I67" s="471"/>
      <c r="J67" s="471"/>
      <c r="K67" s="471"/>
      <c r="L67" s="471"/>
    </row>
    <row r="68" spans="1:18" ht="20.100000000000001" customHeight="1" x14ac:dyDescent="0.2">
      <c r="C68" s="722"/>
      <c r="D68" s="722"/>
      <c r="E68" s="721" t="s">
        <v>4294</v>
      </c>
      <c r="F68" s="4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71"/>
      <c r="H68" s="471"/>
      <c r="I68" s="471"/>
      <c r="J68" s="471"/>
      <c r="K68" s="471"/>
      <c r="L68" s="471"/>
    </row>
    <row r="69" spans="1:18" ht="20.100000000000001" customHeight="1" x14ac:dyDescent="0.2">
      <c r="C69" s="722"/>
      <c r="D69" s="722"/>
      <c r="E69" s="721" t="s">
        <v>4295</v>
      </c>
      <c r="F69" s="47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71"/>
      <c r="H69" s="471"/>
      <c r="I69" s="471"/>
      <c r="J69" s="471"/>
      <c r="K69" s="471"/>
      <c r="L69" s="471"/>
    </row>
    <row r="70" spans="1:18" ht="20.100000000000001" customHeight="1" x14ac:dyDescent="0.2">
      <c r="C70" s="722"/>
      <c r="D70" s="722"/>
      <c r="E70" s="721" t="s">
        <v>4296</v>
      </c>
      <c r="F70" s="47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71"/>
      <c r="H70" s="471"/>
      <c r="I70" s="471"/>
      <c r="J70" s="471"/>
      <c r="K70" s="471"/>
      <c r="L70" s="471"/>
    </row>
    <row r="71" spans="1:18" ht="20.100000000000001" customHeight="1" x14ac:dyDescent="0.2">
      <c r="A71" s="467" t="s">
        <v>4297</v>
      </c>
      <c r="C71" s="722"/>
      <c r="D71" s="722"/>
      <c r="E71" s="721" t="s">
        <v>225</v>
      </c>
      <c r="F71" s="914" t="str">
        <f>IF(_Neo_Lab_Opm=0,"",_Neo_Lab_Opm)</f>
        <v/>
      </c>
      <c r="G71" s="915"/>
      <c r="H71" s="915"/>
      <c r="I71" s="915"/>
      <c r="J71" s="915"/>
      <c r="K71" s="915"/>
      <c r="L71" s="915"/>
      <c r="M71" s="915"/>
      <c r="N71" s="915"/>
      <c r="O71" s="915"/>
      <c r="P71" s="915"/>
      <c r="Q71" s="915"/>
      <c r="R71" s="915"/>
    </row>
    <row r="72" spans="1:18" ht="20.100000000000001" customHeight="1" x14ac:dyDescent="0.2">
      <c r="C72" s="722"/>
      <c r="D72" s="722"/>
      <c r="E72" s="723"/>
      <c r="F72" s="915"/>
      <c r="G72" s="915"/>
      <c r="H72" s="915"/>
      <c r="I72" s="915"/>
      <c r="J72" s="915"/>
      <c r="K72" s="915"/>
      <c r="L72" s="915"/>
      <c r="M72" s="915"/>
      <c r="N72" s="915"/>
      <c r="O72" s="915"/>
      <c r="P72" s="915"/>
      <c r="Q72" s="915"/>
      <c r="R72" s="915"/>
    </row>
    <row r="73" spans="1:18" ht="20.100000000000001" customHeight="1" x14ac:dyDescent="0.2">
      <c r="C73" s="468"/>
      <c r="D73" s="468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A3" activePane="bottomRight" state="frozenSplit"/>
      <selection activeCell="J34" sqref="J34"/>
      <selection pane="topRight" activeCell="J34" sqref="J34"/>
      <selection pane="bottomLeft" activeCell="J34" sqref="J34"/>
      <selection pane="bottomRight" activeCell="BB6" sqref="BB6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4275</v>
      </c>
      <c r="H1" s="319">
        <v>20</v>
      </c>
      <c r="J1" s="426">
        <v>1</v>
      </c>
      <c r="K1" s="626"/>
      <c r="L1" s="626"/>
      <c r="M1" s="426">
        <v>2</v>
      </c>
      <c r="N1" s="626"/>
      <c r="O1" s="426"/>
      <c r="P1" s="426"/>
      <c r="Q1" s="426"/>
      <c r="R1" s="426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6">
        <v>6</v>
      </c>
      <c r="AN1" s="426">
        <v>7</v>
      </c>
      <c r="AO1" s="426">
        <v>8</v>
      </c>
      <c r="AP1" s="426">
        <v>10</v>
      </c>
      <c r="AQ1" s="426">
        <v>9</v>
      </c>
      <c r="AR1" s="426">
        <v>3</v>
      </c>
      <c r="AS1" s="426">
        <v>4</v>
      </c>
      <c r="AT1" s="426">
        <v>5</v>
      </c>
      <c r="AU1" s="426">
        <v>2</v>
      </c>
      <c r="AV1" s="426">
        <v>13</v>
      </c>
      <c r="AW1" s="426">
        <v>12</v>
      </c>
      <c r="AX1" s="426">
        <v>11</v>
      </c>
    </row>
    <row r="2" spans="1:56" s="424" customFormat="1" ht="25.5" x14ac:dyDescent="0.2">
      <c r="A2" s="438" t="s">
        <v>27</v>
      </c>
      <c r="C2" s="424" t="s">
        <v>4122</v>
      </c>
      <c r="D2" s="424" t="s">
        <v>3322</v>
      </c>
      <c r="E2" s="424" t="s">
        <v>4105</v>
      </c>
      <c r="F2" s="424" t="s">
        <v>4279</v>
      </c>
      <c r="G2" s="424" t="s">
        <v>882</v>
      </c>
      <c r="H2" s="424" t="s">
        <v>4281</v>
      </c>
      <c r="I2" s="424" t="s">
        <v>405</v>
      </c>
      <c r="J2" s="424" t="s">
        <v>261</v>
      </c>
      <c r="K2" s="424" t="s">
        <v>3328</v>
      </c>
      <c r="L2" s="424" t="s">
        <v>4122</v>
      </c>
      <c r="M2" s="424" t="s">
        <v>156</v>
      </c>
      <c r="N2" s="424" t="s">
        <v>3321</v>
      </c>
      <c r="O2" s="424" t="s">
        <v>3322</v>
      </c>
      <c r="P2" s="424" t="s">
        <v>4280</v>
      </c>
      <c r="Q2" s="424" t="s">
        <v>4273</v>
      </c>
      <c r="R2" s="424" t="s">
        <v>4276</v>
      </c>
      <c r="S2" s="424" t="s">
        <v>433</v>
      </c>
      <c r="T2" s="424" t="s">
        <v>4927</v>
      </c>
      <c r="U2" s="424" t="s">
        <v>4956</v>
      </c>
      <c r="V2" s="424" t="s">
        <v>4930</v>
      </c>
      <c r="W2" s="424" t="s">
        <v>4957</v>
      </c>
      <c r="X2" s="424" t="s">
        <v>4972</v>
      </c>
      <c r="Y2" s="424" t="s">
        <v>4973</v>
      </c>
      <c r="Z2" s="424" t="s">
        <v>299</v>
      </c>
      <c r="AA2" s="424" t="s">
        <v>4537</v>
      </c>
      <c r="AB2" s="424" t="s">
        <v>4535</v>
      </c>
      <c r="AC2" s="424" t="s">
        <v>4536</v>
      </c>
      <c r="AD2" s="424" t="s">
        <v>4533</v>
      </c>
      <c r="AE2" s="424" t="s">
        <v>4534</v>
      </c>
      <c r="AF2" s="424" t="s">
        <v>4911</v>
      </c>
      <c r="AG2" s="424" t="s">
        <v>4912</v>
      </c>
      <c r="AH2" s="424" t="s">
        <v>4913</v>
      </c>
      <c r="AI2" s="424" t="s">
        <v>4292</v>
      </c>
      <c r="AJ2" s="424" t="s">
        <v>4293</v>
      </c>
      <c r="AK2" s="424" t="s">
        <v>5000</v>
      </c>
      <c r="AL2" s="424" t="s">
        <v>241</v>
      </c>
      <c r="AM2" s="424" t="s">
        <v>173</v>
      </c>
      <c r="AN2" s="424" t="s">
        <v>174</v>
      </c>
      <c r="AO2" s="424" t="s">
        <v>175</v>
      </c>
      <c r="AP2" s="424" t="s">
        <v>176</v>
      </c>
      <c r="AQ2" s="424" t="s">
        <v>421</v>
      </c>
      <c r="AR2" s="424" t="s">
        <v>172</v>
      </c>
      <c r="AS2" s="424" t="s">
        <v>422</v>
      </c>
      <c r="AT2" s="424" t="s">
        <v>423</v>
      </c>
      <c r="AU2" s="424" t="s">
        <v>424</v>
      </c>
      <c r="AV2" s="424" t="s">
        <v>466</v>
      </c>
      <c r="AW2" s="424" t="s">
        <v>432</v>
      </c>
      <c r="AX2" s="424" t="s">
        <v>741</v>
      </c>
      <c r="AY2" s="424" t="s">
        <v>444</v>
      </c>
      <c r="AZ2" s="424" t="s">
        <v>482</v>
      </c>
      <c r="BB2" s="424" t="s">
        <v>4283</v>
      </c>
      <c r="BC2" s="424" t="s">
        <v>7079</v>
      </c>
      <c r="BD2" s="424" t="s">
        <v>3328</v>
      </c>
    </row>
    <row r="3" spans="1:56" s="319" customFormat="1" x14ac:dyDescent="0.2">
      <c r="A3" s="235" t="s">
        <v>3747</v>
      </c>
      <c r="B3" s="319" t="s">
        <v>7085</v>
      </c>
      <c r="AJ3" s="319" t="b">
        <f>NOT(B3="Actuele Afspraken")</f>
        <v>1</v>
      </c>
    </row>
    <row r="4" spans="1:56" x14ac:dyDescent="0.2">
      <c r="A4" s="235" t="s">
        <v>483</v>
      </c>
      <c r="B4" s="204">
        <f ca="1">TODAY()-__4_GebDatum+1</f>
        <v>41541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IF(_Pat_Gewicht&gt;0,IF(B21,C7,ROUND(AL54/(_Pat_Gewicht/10),1)),"")</f>
        <v/>
      </c>
      <c r="AI7" s="319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0">IF($B23&gt;1,(C23/10)&amp;" "&amp;INDEX(Tbl_Neo_MedIV,$B23,M$1),"")</f>
        <v/>
      </c>
      <c r="N23" s="319" t="str">
        <f t="shared" ref="N23:N32" si="11">IF($B23&gt;1,INDEX(Tbl_Neo_MedIV,$B23,M$1),"")</f>
        <v/>
      </c>
      <c r="O23" s="319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_xlfn.FLOOR.PRECISE( 24/(D23/(F23/10)),1),"")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19">
        <f t="shared" si="8"/>
        <v>1</v>
      </c>
      <c r="I24" s="109" t="b">
        <v>0</v>
      </c>
      <c r="J24" s="319" t="str">
        <f t="shared" si="9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0"/>
        <v/>
      </c>
      <c r="N24" s="319" t="str">
        <f t="shared" si="11"/>
        <v/>
      </c>
      <c r="O24" s="319" t="str">
        <f t="shared" si="12"/>
        <v/>
      </c>
      <c r="P24" s="319" t="str">
        <f t="shared" si="13"/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85" t="b">
        <f t="shared" si="22"/>
        <v>0</v>
      </c>
      <c r="AH24" s="776" t="b">
        <f>IF(IsEpiduraal(J24),C24&gt;_Pat_Gewicht,IF(D24&gt;0,AND(INDEX(Tbl_Neo_MedIV,B24,10)&lt;&gt;0,(C24/10)/D24&gt;INDEX(Tbl_Neo_MedIV,B24,10)),FALSE))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_xlfn.FLOOR.PRECISE( 24/(D24/(F24/10)),1),"")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99" t="b">
        <f t="shared" ref="BC24:BC32" si="36">AND(B24&gt;1,C24/10/BD24&lt;0.1)</f>
        <v>0</v>
      </c>
      <c r="BD24" s="799">
        <f t="shared" si="28"/>
        <v>1</v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19">
        <f t="shared" si="8"/>
        <v>1</v>
      </c>
      <c r="I25" s="109" t="b">
        <v>0</v>
      </c>
      <c r="J25" s="319" t="str">
        <f t="shared" si="9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0"/>
        <v/>
      </c>
      <c r="N25" s="319" t="str">
        <f t="shared" si="11"/>
        <v/>
      </c>
      <c r="O25" s="319" t="str">
        <f t="shared" si="12"/>
        <v/>
      </c>
      <c r="P25" s="319" t="str">
        <f t="shared" si="13"/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85" t="b">
        <f t="shared" si="22"/>
        <v>0</v>
      </c>
      <c r="AH25" s="776" t="b">
        <f>IF(IsEpiduraal(J25),C25&gt;_Pat_Gewicht,IF(D25&gt;0,AND(INDEX(Tbl_Neo_MedIV,B25,10)&lt;&gt;0,(C25/10)/D25&gt;INDEX(Tbl_Neo_MedIV,B25,10)),FALSE))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99" t="b">
        <f t="shared" si="36"/>
        <v>0</v>
      </c>
      <c r="BD25" s="799">
        <f t="shared" si="28"/>
        <v>1</v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19">
        <f t="shared" si="8"/>
        <v>1</v>
      </c>
      <c r="I26" s="109" t="b">
        <v>0</v>
      </c>
      <c r="J26" s="319" t="str">
        <f t="shared" si="9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0"/>
        <v/>
      </c>
      <c r="N26" s="319" t="str">
        <f t="shared" si="11"/>
        <v/>
      </c>
      <c r="O26" s="319" t="str">
        <f t="shared" si="12"/>
        <v/>
      </c>
      <c r="P26" s="319" t="str">
        <f t="shared" si="13"/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85" t="b">
        <f t="shared" si="22"/>
        <v>0</v>
      </c>
      <c r="AH26" s="776" t="b">
        <f>IF(IsEpiduraal(J26),C26&gt;_Pat_Gewicht,IF(D26&gt;0,AND(INDEX(Tbl_Neo_MedIV,B26,10)&lt;&gt;0,(C26/10)/D26&gt;INDEX(Tbl_Neo_MedIV,B26,10)),FALSE))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99" t="b">
        <f t="shared" si="36"/>
        <v>0</v>
      </c>
      <c r="BD26" s="799">
        <f t="shared" si="28"/>
        <v>1</v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19">
        <f t="shared" si="8"/>
        <v>1</v>
      </c>
      <c r="I27" s="109" t="b">
        <v>0</v>
      </c>
      <c r="J27" s="319" t="str">
        <f t="shared" si="9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0"/>
        <v/>
      </c>
      <c r="N27" s="319" t="str">
        <f t="shared" si="11"/>
        <v/>
      </c>
      <c r="O27" s="319" t="str">
        <f t="shared" si="12"/>
        <v/>
      </c>
      <c r="P27" s="319" t="str">
        <f t="shared" si="13"/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85" t="b">
        <f t="shared" si="22"/>
        <v>0</v>
      </c>
      <c r="AH27" s="776" t="b">
        <f>IF(IsEpiduraal(J27),C27&gt;_Pat_Gewicht,IF(D27&gt;0,AND(INDEX(Tbl_Neo_MedIV,B27,10)&lt;&gt;0,(C27/10)/D27&gt;INDEX(Tbl_Neo_MedIV,B27,10)),FALSE))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99" t="b">
        <f t="shared" si="36"/>
        <v>0</v>
      </c>
      <c r="BD27" s="799">
        <f t="shared" si="28"/>
        <v>1</v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19">
        <f t="shared" si="8"/>
        <v>1</v>
      </c>
      <c r="I28" s="109" t="b">
        <v>0</v>
      </c>
      <c r="J28" s="319" t="str">
        <f t="shared" si="9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0"/>
        <v/>
      </c>
      <c r="N28" s="319" t="str">
        <f t="shared" si="11"/>
        <v/>
      </c>
      <c r="O28" s="319" t="str">
        <f t="shared" si="12"/>
        <v/>
      </c>
      <c r="P28" s="319" t="str">
        <f t="shared" si="13"/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85" t="b">
        <f t="shared" si="22"/>
        <v>0</v>
      </c>
      <c r="AH28" s="776" t="b">
        <f>IF(IsEpiduraal(J28),C28&gt;_Pat_Gewicht,IF(D28&gt;0,AND(INDEX(Tbl_Neo_MedIV,B28,10)&lt;&gt;0,(C28/10)/D28&gt;INDEX(Tbl_Neo_MedIV,B28,10)),FALSE))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99" t="b">
        <f t="shared" si="36"/>
        <v>0</v>
      </c>
      <c r="BD28" s="799">
        <f t="shared" si="28"/>
        <v>1</v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19">
        <f t="shared" si="8"/>
        <v>1</v>
      </c>
      <c r="I29" s="109" t="b">
        <v>0</v>
      </c>
      <c r="J29" s="319" t="str">
        <f t="shared" si="9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0"/>
        <v/>
      </c>
      <c r="N29" s="319" t="str">
        <f t="shared" si="11"/>
        <v/>
      </c>
      <c r="O29" s="319" t="str">
        <f t="shared" si="12"/>
        <v/>
      </c>
      <c r="P29" s="319" t="str">
        <f t="shared" si="13"/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85" t="b">
        <f t="shared" si="22"/>
        <v>0</v>
      </c>
      <c r="AH29" s="776" t="b">
        <f>IF(IsEpiduraal(J29),C29&gt;_Pat_Gewicht,IF(D29&gt;0,AND(INDEX(Tbl_Neo_MedIV,B29,10)&lt;&gt;0,(C29/10)/D29&gt;INDEX(Tbl_Neo_MedIV,B29,10)),FALSE))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99" t="b">
        <f t="shared" si="36"/>
        <v>0</v>
      </c>
      <c r="BD29" s="799">
        <f t="shared" si="28"/>
        <v>1</v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19">
        <f t="shared" si="8"/>
        <v>1</v>
      </c>
      <c r="I30" s="109" t="b">
        <v>0</v>
      </c>
      <c r="J30" s="319" t="str">
        <f t="shared" si="9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0"/>
        <v/>
      </c>
      <c r="N30" s="319" t="str">
        <f t="shared" si="11"/>
        <v/>
      </c>
      <c r="O30" s="319" t="str">
        <f t="shared" si="12"/>
        <v/>
      </c>
      <c r="P30" s="319" t="str">
        <f t="shared" si="13"/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85" t="b">
        <f t="shared" si="22"/>
        <v>0</v>
      </c>
      <c r="AH30" s="776" t="b">
        <f>IF(IsEpiduraal(J30),C30&gt;_Pat_Gewicht,IF(D30&gt;0,AND(INDEX(Tbl_Neo_MedIV,B30,10)&lt;&gt;0,(C30/10)/D30&gt;INDEX(Tbl_Neo_MedIV,B30,10)),FALSE))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99" t="b">
        <f t="shared" si="36"/>
        <v>0</v>
      </c>
      <c r="BD30" s="799">
        <f t="shared" si="28"/>
        <v>1</v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19">
        <f t="shared" si="8"/>
        <v>1</v>
      </c>
      <c r="I31" s="109" t="b">
        <v>0</v>
      </c>
      <c r="J31" s="319" t="str">
        <f t="shared" si="9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0"/>
        <v/>
      </c>
      <c r="N31" s="319" t="str">
        <f t="shared" si="11"/>
        <v/>
      </c>
      <c r="O31" s="319" t="str">
        <f t="shared" si="12"/>
        <v/>
      </c>
      <c r="P31" s="319" t="str">
        <f t="shared" si="13"/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85" t="b">
        <f t="shared" si="22"/>
        <v>0</v>
      </c>
      <c r="AH31" s="776" t="b">
        <f>IF(IsEpiduraal(J31),C31&gt;_Pat_Gewicht,IF(D31&gt;0,AND(INDEX(Tbl_Neo_MedIV,B31,10)&lt;&gt;0,(C31/10)/D31&gt;INDEX(Tbl_Neo_MedIV,B31,10)),FALSE))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99" t="b">
        <f t="shared" si="36"/>
        <v>0</v>
      </c>
      <c r="BD31" s="799">
        <f t="shared" si="28"/>
        <v>1</v>
      </c>
    </row>
    <row r="32" spans="1:56" s="319" customFormat="1" x14ac:dyDescent="0.2">
      <c r="A32" s="319" t="s">
        <v>4304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>IF(AND(_Pat_Gewicht&gt;0,D32&gt;0),IF(IsEpiduraal(J32),F32/10,FixPrecision( ((C32/10)/D32)*(F32/10)*H32/(_Pat_Gewicht/10),2)),0)</f>
        <v>0</v>
      </c>
      <c r="H32" s="319">
        <f t="shared" si="8"/>
        <v>1</v>
      </c>
      <c r="I32" s="319" t="b">
        <v>0</v>
      </c>
      <c r="J32" s="319" t="str">
        <f t="shared" si="9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1"/>
        <v/>
      </c>
      <c r="O32" s="319" t="str">
        <f t="shared" si="12"/>
        <v/>
      </c>
      <c r="P32" s="319" t="str">
        <f t="shared" si="13"/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85" t="b">
        <f t="shared" si="22"/>
        <v>0</v>
      </c>
      <c r="AH32" s="776" t="b">
        <f>IF(IsEpiduraal(J32),C32&gt;_Pat_Gewicht,IF(D32&gt;0,AND(INDEX(Tbl_Neo_MedIV,B32,10)&lt;&gt;0,(C32/10)/D32&gt;INDEX(Tbl_Neo_MedIV,B32,10)),FALSE))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319">
        <f t="shared" si="25"/>
        <v>0</v>
      </c>
      <c r="AN32" s="319">
        <f t="shared" si="25"/>
        <v>0</v>
      </c>
      <c r="AO32" s="319">
        <f t="shared" si="25"/>
        <v>0</v>
      </c>
      <c r="AP32" s="319">
        <f t="shared" si="25"/>
        <v>0</v>
      </c>
      <c r="AQ32" s="319">
        <f t="shared" si="25"/>
        <v>0</v>
      </c>
      <c r="AR32" s="319">
        <f t="shared" si="25"/>
        <v>0</v>
      </c>
      <c r="AS32" s="319">
        <f t="shared" si="25"/>
        <v>0</v>
      </c>
      <c r="AT32" s="319">
        <f t="shared" si="25"/>
        <v>0</v>
      </c>
      <c r="AU32" s="319">
        <f t="shared" si="25"/>
        <v>0</v>
      </c>
      <c r="AV32" s="319">
        <f t="shared" si="25"/>
        <v>0</v>
      </c>
      <c r="AW32" s="319">
        <f t="shared" si="25"/>
        <v>0</v>
      </c>
      <c r="AX32" s="319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99" t="b">
        <f t="shared" si="36"/>
        <v>0</v>
      </c>
      <c r="BD32" s="799">
        <f t="shared" si="28"/>
        <v>1</v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19" t="str">
        <f t="shared" si="13"/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13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13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863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39">IF($C40&gt;0,VLOOKUP($P40,Tbl_Glob_ParEnt,AM$1,FALSE),0)*$AL40</f>
        <v>0</v>
      </c>
      <c r="AN40" s="319">
        <f t="shared" ca="1" si="39"/>
        <v>0</v>
      </c>
      <c r="AO40" s="319">
        <f t="shared" ca="1" si="39"/>
        <v>0</v>
      </c>
      <c r="AP40" s="319">
        <f t="shared" ca="1" si="39"/>
        <v>0</v>
      </c>
      <c r="AQ40" s="319">
        <f t="shared" ca="1" si="39"/>
        <v>0</v>
      </c>
      <c r="AR40" s="319">
        <f t="shared" ca="1" si="39"/>
        <v>0</v>
      </c>
      <c r="AS40" s="319">
        <f t="shared" ca="1" si="39"/>
        <v>0</v>
      </c>
      <c r="AT40" s="319">
        <f t="shared" ca="1" si="39"/>
        <v>0</v>
      </c>
      <c r="AU40" s="319">
        <f t="shared" ca="1" si="39"/>
        <v>0</v>
      </c>
      <c r="AV40" s="319">
        <f t="shared" ca="1" si="39"/>
        <v>0</v>
      </c>
      <c r="AW40" s="319">
        <f t="shared" ca="1" si="39"/>
        <v>0</v>
      </c>
      <c r="AX40" s="319">
        <f t="shared" ca="1" si="39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4282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0">A42</f>
        <v>NaCl 2,9%</v>
      </c>
      <c r="AL42" s="109">
        <f>IF(OR($D$41=2,$D$41=3),C42,0)</f>
        <v>0</v>
      </c>
      <c r="AM42" s="319">
        <f t="shared" ref="AM42:AX50" ca="1" si="41">IF($C42&gt;0,VLOOKUP($P42,Tbl_Glob_ParEnt,AM$1,FALSE),0)*$AL42</f>
        <v>0</v>
      </c>
      <c r="AN42" s="319">
        <f t="shared" ca="1" si="41"/>
        <v>0</v>
      </c>
      <c r="AO42" s="319">
        <f t="shared" ca="1" si="41"/>
        <v>0</v>
      </c>
      <c r="AP42" s="319">
        <f t="shared" ca="1" si="41"/>
        <v>0</v>
      </c>
      <c r="AQ42" s="319">
        <f t="shared" ca="1" si="41"/>
        <v>0</v>
      </c>
      <c r="AR42" s="319">
        <f t="shared" ca="1" si="41"/>
        <v>0</v>
      </c>
      <c r="AS42" s="319">
        <f t="shared" ca="1" si="41"/>
        <v>0</v>
      </c>
      <c r="AT42" s="319">
        <f t="shared" ca="1" si="41"/>
        <v>0</v>
      </c>
      <c r="AU42" s="319">
        <f t="shared" ca="1" si="41"/>
        <v>0</v>
      </c>
      <c r="AV42" s="319">
        <f t="shared" ca="1" si="41"/>
        <v>0</v>
      </c>
      <c r="AW42" s="319">
        <f t="shared" ca="1" si="41"/>
        <v>0</v>
      </c>
      <c r="AX42" s="319">
        <f t="shared" ca="1" si="41"/>
        <v>0</v>
      </c>
      <c r="AZ42" s="426"/>
      <c r="BA42" s="426"/>
      <c r="BB42" s="109" t="str">
        <f>IF(O42="","",P42&amp;" "&amp;O42)</f>
        <v/>
      </c>
      <c r="BD42" s="426"/>
      <c r="BE42" s="426"/>
      <c r="BF42" s="426"/>
      <c r="BG42" s="426"/>
      <c r="BH42" s="426"/>
      <c r="BI42" s="426"/>
      <c r="BJ42" s="426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2">IF(AL43&gt;0,AL43&amp;" ml","")</f>
        <v/>
      </c>
      <c r="P43" s="319" t="str">
        <f t="shared" si="40"/>
        <v>Kacetaat</v>
      </c>
      <c r="AL43" s="109">
        <f>IF(OR($D$41=2,$D$41=3),C43,0)</f>
        <v>0</v>
      </c>
      <c r="AM43" s="319">
        <f t="shared" ca="1" si="41"/>
        <v>0</v>
      </c>
      <c r="AN43" s="319">
        <f t="shared" ca="1" si="41"/>
        <v>0</v>
      </c>
      <c r="AO43" s="319">
        <f t="shared" ca="1" si="41"/>
        <v>0</v>
      </c>
      <c r="AP43" s="319">
        <f t="shared" ca="1" si="41"/>
        <v>0</v>
      </c>
      <c r="AQ43" s="319">
        <f t="shared" ca="1" si="41"/>
        <v>0</v>
      </c>
      <c r="AR43" s="319">
        <f t="shared" ca="1" si="41"/>
        <v>0</v>
      </c>
      <c r="AS43" s="319">
        <f t="shared" ca="1" si="41"/>
        <v>0</v>
      </c>
      <c r="AT43" s="319">
        <f t="shared" ca="1" si="41"/>
        <v>0</v>
      </c>
      <c r="AU43" s="319">
        <f t="shared" ca="1" si="41"/>
        <v>0</v>
      </c>
      <c r="AV43" s="319">
        <f t="shared" ca="1" si="41"/>
        <v>0</v>
      </c>
      <c r="AW43" s="319">
        <f t="shared" ca="1" si="41"/>
        <v>0</v>
      </c>
      <c r="AX43" s="319">
        <f t="shared" ca="1" si="41"/>
        <v>0</v>
      </c>
      <c r="BB43" s="319" t="str">
        <f t="shared" ref="BB43:BB50" si="43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2"/>
        <v/>
      </c>
      <c r="P44" s="319" t="str">
        <f t="shared" si="40"/>
        <v>CaCl2</v>
      </c>
      <c r="AL44" s="109">
        <f>IF($D$41=3,C44,0)</f>
        <v>0</v>
      </c>
      <c r="AM44" s="319">
        <f t="shared" ca="1" si="41"/>
        <v>0</v>
      </c>
      <c r="AN44" s="319">
        <f t="shared" ca="1" si="41"/>
        <v>0</v>
      </c>
      <c r="AO44" s="319">
        <f t="shared" ca="1" si="41"/>
        <v>0</v>
      </c>
      <c r="AP44" s="319">
        <f t="shared" ca="1" si="41"/>
        <v>0</v>
      </c>
      <c r="AQ44" s="319">
        <f t="shared" ca="1" si="41"/>
        <v>0</v>
      </c>
      <c r="AR44" s="319">
        <f t="shared" ca="1" si="41"/>
        <v>0</v>
      </c>
      <c r="AS44" s="319">
        <f t="shared" ca="1" si="41"/>
        <v>0</v>
      </c>
      <c r="AT44" s="319">
        <f t="shared" ca="1" si="41"/>
        <v>0</v>
      </c>
      <c r="AU44" s="319">
        <f t="shared" ca="1" si="41"/>
        <v>0</v>
      </c>
      <c r="AV44" s="319">
        <f t="shared" ca="1" si="41"/>
        <v>0</v>
      </c>
      <c r="AW44" s="319">
        <f t="shared" ca="1" si="41"/>
        <v>0</v>
      </c>
      <c r="AX44" s="319">
        <f t="shared" ca="1" si="41"/>
        <v>0</v>
      </c>
      <c r="BB44" s="319" t="str">
        <f t="shared" si="43"/>
        <v/>
      </c>
      <c r="BC44" s="426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2"/>
        <v/>
      </c>
      <c r="P45" s="319" t="str">
        <f t="shared" si="40"/>
        <v>MgCl2</v>
      </c>
      <c r="AL45" s="109">
        <f>IF($D$41=3,C45,0)</f>
        <v>0</v>
      </c>
      <c r="AM45" s="319">
        <f t="shared" ca="1" si="41"/>
        <v>0</v>
      </c>
      <c r="AN45" s="319">
        <f t="shared" ca="1" si="41"/>
        <v>0</v>
      </c>
      <c r="AO45" s="319">
        <f t="shared" ca="1" si="41"/>
        <v>0</v>
      </c>
      <c r="AP45" s="319">
        <f t="shared" ca="1" si="41"/>
        <v>0</v>
      </c>
      <c r="AQ45" s="319">
        <f t="shared" ca="1" si="41"/>
        <v>0</v>
      </c>
      <c r="AR45" s="319">
        <f t="shared" ca="1" si="41"/>
        <v>0</v>
      </c>
      <c r="AS45" s="319">
        <f t="shared" ca="1" si="41"/>
        <v>0</v>
      </c>
      <c r="AT45" s="319">
        <f t="shared" ca="1" si="41"/>
        <v>0</v>
      </c>
      <c r="AU45" s="319">
        <f t="shared" ca="1" si="41"/>
        <v>0</v>
      </c>
      <c r="AV45" s="319">
        <f t="shared" ca="1" si="41"/>
        <v>0</v>
      </c>
      <c r="AW45" s="319">
        <f t="shared" ca="1" si="41"/>
        <v>0</v>
      </c>
      <c r="AX45" s="319">
        <f t="shared" ca="1" si="41"/>
        <v>0</v>
      </c>
      <c r="BB45" s="319" t="str">
        <f t="shared" si="43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2"/>
        <v/>
      </c>
      <c r="P46" s="319" t="str">
        <f t="shared" si="40"/>
        <v>Soluvit</v>
      </c>
      <c r="AL46" s="109">
        <f>IF($D$41=3,C46,0)</f>
        <v>0</v>
      </c>
      <c r="AM46" s="319">
        <f t="shared" ca="1" si="41"/>
        <v>0</v>
      </c>
      <c r="AN46" s="319">
        <f t="shared" ca="1" si="41"/>
        <v>0</v>
      </c>
      <c r="AO46" s="319">
        <f t="shared" ca="1" si="41"/>
        <v>0</v>
      </c>
      <c r="AP46" s="319">
        <f t="shared" ca="1" si="41"/>
        <v>0</v>
      </c>
      <c r="AQ46" s="319">
        <f t="shared" ca="1" si="41"/>
        <v>0</v>
      </c>
      <c r="AR46" s="319">
        <f t="shared" ca="1" si="41"/>
        <v>0</v>
      </c>
      <c r="AS46" s="319">
        <f t="shared" ca="1" si="41"/>
        <v>0</v>
      </c>
      <c r="AT46" s="319">
        <f t="shared" ca="1" si="41"/>
        <v>0</v>
      </c>
      <c r="AU46" s="319">
        <f t="shared" ca="1" si="41"/>
        <v>0</v>
      </c>
      <c r="AV46" s="319">
        <f t="shared" ca="1" si="41"/>
        <v>0</v>
      </c>
      <c r="AW46" s="319">
        <f t="shared" ca="1" si="41"/>
        <v>0</v>
      </c>
      <c r="AX46" s="319">
        <f t="shared" ca="1" si="41"/>
        <v>0</v>
      </c>
      <c r="BB46" s="319" t="str">
        <f t="shared" si="43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2"/>
        <v/>
      </c>
      <c r="P47" s="319" t="str">
        <f t="shared" si="40"/>
        <v>Primene</v>
      </c>
      <c r="AL47" s="109">
        <f ca="1">C47</f>
        <v>0</v>
      </c>
      <c r="AM47" s="319">
        <f t="shared" ca="1" si="41"/>
        <v>0</v>
      </c>
      <c r="AN47" s="319">
        <f t="shared" ca="1" si="41"/>
        <v>0</v>
      </c>
      <c r="AO47" s="319">
        <f t="shared" ca="1" si="41"/>
        <v>0</v>
      </c>
      <c r="AP47" s="319">
        <f t="shared" ca="1" si="41"/>
        <v>0</v>
      </c>
      <c r="AQ47" s="319">
        <f t="shared" ca="1" si="41"/>
        <v>0</v>
      </c>
      <c r="AR47" s="319">
        <f t="shared" ca="1" si="41"/>
        <v>0</v>
      </c>
      <c r="AS47" s="319">
        <f t="shared" ca="1" si="41"/>
        <v>0</v>
      </c>
      <c r="AT47" s="319">
        <f t="shared" ca="1" si="41"/>
        <v>0</v>
      </c>
      <c r="AU47" s="319">
        <f t="shared" ca="1" si="41"/>
        <v>0</v>
      </c>
      <c r="AV47" s="319">
        <f t="shared" ca="1" si="41"/>
        <v>0</v>
      </c>
      <c r="AW47" s="319">
        <f t="shared" ca="1" si="41"/>
        <v>0</v>
      </c>
      <c r="AX47" s="319">
        <f t="shared" ca="1" si="41"/>
        <v>0</v>
      </c>
      <c r="BB47" s="319" t="str">
        <f t="shared" ca="1" si="43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2"/>
        <v/>
      </c>
      <c r="P48" s="319" t="s">
        <v>481</v>
      </c>
      <c r="AL48" s="109">
        <f ca="1">IF(D41=1,C48,0)</f>
        <v>0</v>
      </c>
      <c r="AM48" s="319">
        <f t="shared" ca="1" si="41"/>
        <v>0</v>
      </c>
      <c r="AN48" s="319">
        <f t="shared" ca="1" si="41"/>
        <v>0</v>
      </c>
      <c r="AO48" s="319">
        <f t="shared" ca="1" si="41"/>
        <v>0</v>
      </c>
      <c r="AP48" s="319">
        <f t="shared" ca="1" si="41"/>
        <v>0</v>
      </c>
      <c r="AQ48" s="319">
        <f t="shared" ca="1" si="41"/>
        <v>0</v>
      </c>
      <c r="AR48" s="319">
        <f t="shared" ca="1" si="41"/>
        <v>0</v>
      </c>
      <c r="AS48" s="319">
        <f t="shared" ca="1" si="41"/>
        <v>0</v>
      </c>
      <c r="AT48" s="319">
        <f t="shared" ca="1" si="41"/>
        <v>0</v>
      </c>
      <c r="AU48" s="319">
        <f t="shared" ca="1" si="41"/>
        <v>0</v>
      </c>
      <c r="AV48" s="319">
        <f t="shared" ca="1" si="41"/>
        <v>0</v>
      </c>
      <c r="AW48" s="319">
        <f t="shared" ca="1" si="41"/>
        <v>0</v>
      </c>
      <c r="AX48" s="319">
        <f t="shared" ca="1" si="41"/>
        <v>0</v>
      </c>
      <c r="BB48" s="319" t="str">
        <f t="shared" ca="1" si="43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2"/>
        <v/>
      </c>
      <c r="P49" s="319" t="str">
        <f>A49</f>
        <v>Samenstelling B</v>
      </c>
      <c r="AL49" s="109">
        <f>IF(D41=2,C49,0)</f>
        <v>0</v>
      </c>
      <c r="AM49" s="319">
        <f t="shared" ca="1" si="41"/>
        <v>0</v>
      </c>
      <c r="AN49" s="319">
        <f t="shared" ca="1" si="41"/>
        <v>0</v>
      </c>
      <c r="AO49" s="319">
        <f t="shared" ca="1" si="41"/>
        <v>0</v>
      </c>
      <c r="AP49" s="319">
        <f t="shared" ca="1" si="41"/>
        <v>0</v>
      </c>
      <c r="AQ49" s="319">
        <f t="shared" ca="1" si="41"/>
        <v>0</v>
      </c>
      <c r="AR49" s="319">
        <f t="shared" ca="1" si="41"/>
        <v>0</v>
      </c>
      <c r="AS49" s="319">
        <f t="shared" ca="1" si="41"/>
        <v>0</v>
      </c>
      <c r="AT49" s="319">
        <f t="shared" ca="1" si="41"/>
        <v>0</v>
      </c>
      <c r="AU49" s="319">
        <f t="shared" ca="1" si="41"/>
        <v>0</v>
      </c>
      <c r="AV49" s="319">
        <f t="shared" ca="1" si="41"/>
        <v>0</v>
      </c>
      <c r="AW49" s="319">
        <f t="shared" ca="1" si="41"/>
        <v>0</v>
      </c>
      <c r="AX49" s="319">
        <f t="shared" ca="1" si="41"/>
        <v>0</v>
      </c>
      <c r="BB49" s="319" t="str">
        <f t="shared" si="43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19" t="str">
        <f t="shared" si="42"/>
        <v/>
      </c>
      <c r="P50" s="319" t="str">
        <f>IF(D50&gt;0,INDEX(Tbl_Neo_OplVlst,D50+1,1),"")</f>
        <v>glucose 10%</v>
      </c>
      <c r="AL50" s="109">
        <f>IF(B21,ROUND(C21-SUM(AL22:AL49),1),0)</f>
        <v>0</v>
      </c>
      <c r="AM50" s="319">
        <f t="shared" si="41"/>
        <v>0</v>
      </c>
      <c r="AN50" s="319">
        <f t="shared" si="41"/>
        <v>0</v>
      </c>
      <c r="AO50" s="319">
        <f t="shared" si="41"/>
        <v>0</v>
      </c>
      <c r="AP50" s="319">
        <f t="shared" si="41"/>
        <v>0</v>
      </c>
      <c r="AQ50" s="319">
        <f t="shared" si="41"/>
        <v>0</v>
      </c>
      <c r="AR50" s="319">
        <f t="shared" si="41"/>
        <v>0</v>
      </c>
      <c r="AS50" s="319">
        <f t="shared" si="41"/>
        <v>0</v>
      </c>
      <c r="AT50" s="319">
        <f t="shared" si="41"/>
        <v>0</v>
      </c>
      <c r="AU50" s="319">
        <f t="shared" si="41"/>
        <v>0</v>
      </c>
      <c r="AV50" s="319">
        <f t="shared" si="41"/>
        <v>0</v>
      </c>
      <c r="AW50" s="319">
        <f t="shared" si="41"/>
        <v>0</v>
      </c>
      <c r="AX50" s="319">
        <f t="shared" si="41"/>
        <v>0</v>
      </c>
      <c r="BB50" s="319" t="str">
        <f t="shared" si="43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9">
        <f t="shared" ref="AM52:AX52" si="44">SUM(AM9:AM19)</f>
        <v>0</v>
      </c>
      <c r="AN52" s="439">
        <f t="shared" si="44"/>
        <v>0</v>
      </c>
      <c r="AO52" s="439">
        <f t="shared" si="44"/>
        <v>0</v>
      </c>
      <c r="AP52" s="439">
        <f t="shared" si="44"/>
        <v>0</v>
      </c>
      <c r="AQ52" s="439">
        <f t="shared" si="44"/>
        <v>0</v>
      </c>
      <c r="AR52" s="439">
        <f t="shared" si="44"/>
        <v>0</v>
      </c>
      <c r="AS52" s="439">
        <f t="shared" si="44"/>
        <v>0</v>
      </c>
      <c r="AT52" s="439">
        <f t="shared" si="44"/>
        <v>0</v>
      </c>
      <c r="AU52" s="439">
        <f t="shared" si="44"/>
        <v>0</v>
      </c>
      <c r="AV52" s="439">
        <f t="shared" si="44"/>
        <v>0</v>
      </c>
      <c r="AW52" s="439">
        <f t="shared" si="44"/>
        <v>0</v>
      </c>
      <c r="AX52" s="439">
        <f t="shared" si="44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5">SUM(AN22:AN50)</f>
        <v>0</v>
      </c>
      <c r="AO53" s="319">
        <f t="shared" ca="1" si="45"/>
        <v>0</v>
      </c>
      <c r="AP53" s="319">
        <f t="shared" ca="1" si="45"/>
        <v>0</v>
      </c>
      <c r="AQ53" s="319">
        <f t="shared" ca="1" si="45"/>
        <v>0</v>
      </c>
      <c r="AR53" s="319">
        <f t="shared" ca="1" si="45"/>
        <v>0</v>
      </c>
      <c r="AS53" s="319">
        <f ca="1">SUM(AS22:AS50)</f>
        <v>0</v>
      </c>
      <c r="AT53" s="319">
        <f t="shared" ca="1" si="45"/>
        <v>0</v>
      </c>
      <c r="AU53" s="319">
        <f t="shared" ca="1" si="45"/>
        <v>0</v>
      </c>
      <c r="AV53" s="319">
        <f t="shared" ca="1" si="45"/>
        <v>0</v>
      </c>
      <c r="AW53" s="319">
        <f t="shared" ca="1" si="45"/>
        <v>0</v>
      </c>
      <c r="AX53" s="319">
        <f t="shared" ca="1" si="45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6">AN52+AN53</f>
        <v>0</v>
      </c>
      <c r="AO54" s="319">
        <f t="shared" ca="1" si="46"/>
        <v>0</v>
      </c>
      <c r="AP54" s="319">
        <f t="shared" ca="1" si="46"/>
        <v>0</v>
      </c>
      <c r="AQ54" s="319">
        <f t="shared" ca="1" si="46"/>
        <v>0</v>
      </c>
      <c r="AR54" s="319">
        <f t="shared" ca="1" si="46"/>
        <v>0</v>
      </c>
      <c r="AS54" s="319">
        <f t="shared" ca="1" si="46"/>
        <v>0</v>
      </c>
      <c r="AT54" s="319">
        <f t="shared" ca="1" si="46"/>
        <v>0</v>
      </c>
      <c r="AU54" s="319">
        <f t="shared" ca="1" si="46"/>
        <v>0</v>
      </c>
      <c r="AV54" s="319">
        <f t="shared" ca="1" si="46"/>
        <v>0</v>
      </c>
      <c r="AW54" s="319">
        <f t="shared" ca="1" si="46"/>
        <v>0</v>
      </c>
      <c r="AX54" s="319">
        <f t="shared" ca="1" si="46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X56" si="47">IF(_Pat_Gewicht&gt;0,FixPrecision(AL52/(_Pat_Gewicht/10),2)&amp;" "&amp;AL$60,"")</f>
        <v/>
      </c>
      <c r="AM56" s="796" t="str">
        <f t="shared" si="47"/>
        <v/>
      </c>
      <c r="AN56" s="796" t="str">
        <f t="shared" si="47"/>
        <v/>
      </c>
      <c r="AO56" s="796" t="str">
        <f t="shared" si="47"/>
        <v/>
      </c>
      <c r="AP56" s="796" t="str">
        <f t="shared" si="47"/>
        <v/>
      </c>
      <c r="AQ56" s="796" t="str">
        <f t="shared" si="47"/>
        <v/>
      </c>
      <c r="AR56" s="796" t="str">
        <f t="shared" si="47"/>
        <v/>
      </c>
      <c r="AS56" s="796" t="str">
        <f>IF(_Pat_Gewicht&gt;0,FixPrecision(AS52/1.44/(_Pat_Gewicht/10),2)&amp;" "&amp;AS$60,"")</f>
        <v/>
      </c>
      <c r="AT56" s="796" t="str">
        <f t="shared" si="47"/>
        <v/>
      </c>
      <c r="AU56" s="796" t="str">
        <f t="shared" si="47"/>
        <v/>
      </c>
      <c r="AV56" s="796" t="str">
        <f t="shared" si="47"/>
        <v/>
      </c>
      <c r="AW56" s="796" t="str">
        <f t="shared" si="47"/>
        <v/>
      </c>
      <c r="AX56" s="796" t="str">
        <f t="shared" si="47"/>
        <v/>
      </c>
    </row>
    <row r="57" spans="1:55" x14ac:dyDescent="0.2">
      <c r="A57" s="109" t="s">
        <v>153</v>
      </c>
      <c r="AL57" s="796" t="str">
        <f t="shared" ref="AL57:AX57" si="48">IF(_Pat_Gewicht&gt;0,FixPrecision(AL53/(_Pat_Gewicht/10),2)&amp;" "&amp;AL$60,"")</f>
        <v/>
      </c>
      <c r="AM57" s="796" t="str">
        <f t="shared" si="48"/>
        <v/>
      </c>
      <c r="AN57" s="796" t="str">
        <f t="shared" si="48"/>
        <v/>
      </c>
      <c r="AO57" s="796" t="str">
        <f t="shared" si="48"/>
        <v/>
      </c>
      <c r="AP57" s="796" t="str">
        <f t="shared" si="48"/>
        <v/>
      </c>
      <c r="AQ57" s="796" t="str">
        <f t="shared" si="48"/>
        <v/>
      </c>
      <c r="AR57" s="796" t="str">
        <f t="shared" si="48"/>
        <v/>
      </c>
      <c r="AS57" s="796" t="str">
        <f>IF(_Pat_Gewicht&gt;0,FixPrecision(AS53/1.44/(_Pat_Gewicht/10),2)&amp;" "&amp;AS$60,"")</f>
        <v/>
      </c>
      <c r="AT57" s="796" t="str">
        <f t="shared" si="48"/>
        <v/>
      </c>
      <c r="AU57" s="796" t="str">
        <f t="shared" si="48"/>
        <v/>
      </c>
      <c r="AV57" s="796" t="str">
        <f t="shared" si="48"/>
        <v/>
      </c>
      <c r="AW57" s="796" t="str">
        <f t="shared" si="48"/>
        <v/>
      </c>
      <c r="AX57" s="796" t="str">
        <f t="shared" si="48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796" t="str">
        <f t="shared" ref="AL58:AX58" si="49">IF(_Pat_Gewicht&gt;0,FixPrecision(AL54/(_Pat_Gewicht/10),2)&amp;" "&amp;AL$60,"")</f>
        <v/>
      </c>
      <c r="AM58" s="796" t="str">
        <f t="shared" si="49"/>
        <v/>
      </c>
      <c r="AN58" s="796" t="str">
        <f t="shared" si="49"/>
        <v/>
      </c>
      <c r="AO58" s="796" t="str">
        <f t="shared" si="49"/>
        <v/>
      </c>
      <c r="AP58" s="796" t="str">
        <f t="shared" si="49"/>
        <v/>
      </c>
      <c r="AQ58" s="796" t="str">
        <f t="shared" si="49"/>
        <v/>
      </c>
      <c r="AR58" s="796" t="str">
        <f t="shared" si="49"/>
        <v/>
      </c>
      <c r="AS58" s="796" t="str">
        <f>IF(_Pat_Gewicht&gt;0,FixPrecision(AS54/1.44/(_Pat_Gewicht/10),2)&amp;" "&amp;AS$60,"")</f>
        <v/>
      </c>
      <c r="AT58" s="796" t="str">
        <f t="shared" si="49"/>
        <v/>
      </c>
      <c r="AU58" s="796" t="str">
        <f t="shared" si="49"/>
        <v/>
      </c>
      <c r="AV58" s="796" t="str">
        <f t="shared" si="49"/>
        <v/>
      </c>
      <c r="AW58" s="796" t="str">
        <f t="shared" si="49"/>
        <v/>
      </c>
      <c r="AX58" s="796" t="str">
        <f t="shared" si="49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19" t="s">
        <v>4732</v>
      </c>
      <c r="AP60" s="319" t="s">
        <v>4732</v>
      </c>
      <c r="AQ60" s="319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19" t="s">
        <v>4732</v>
      </c>
    </row>
    <row r="61" spans="1:55" x14ac:dyDescent="0.2">
      <c r="J61" s="109"/>
      <c r="M61" s="109"/>
      <c r="O61" s="790" t="str">
        <f t="shared" ref="O61:O68" si="50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90" t="str">
        <f t="shared" si="50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90" t="str">
        <f t="shared" si="50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90" t="str">
        <f t="shared" si="50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90" t="str">
        <f t="shared" ca="1" si="50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90" t="str">
        <f t="shared" ca="1" si="50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90" t="str">
        <f t="shared" si="50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90" t="str">
        <f t="shared" si="50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80" workbookViewId="0">
      <selection activeCell="D102" sqref="D10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3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E42" sqref="E4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7081</v>
      </c>
      <c r="C2" s="161" t="str">
        <f>__3_VoorNaam&amp;" "&amp;__2_AchterNaam</f>
        <v xml:space="preserve"> </v>
      </c>
      <c r="G2" s="159" t="s">
        <v>235</v>
      </c>
      <c r="I2" s="920">
        <f ca="1">TODAY()</f>
        <v>43002</v>
      </c>
      <c r="J2" s="920"/>
      <c r="K2" s="920"/>
      <c r="L2" s="159" t="s">
        <v>7083</v>
      </c>
      <c r="M2" s="921">
        <f ca="1">NOW()</f>
        <v>43002.558863078702</v>
      </c>
      <c r="N2" s="921"/>
    </row>
    <row r="3" spans="1:16" x14ac:dyDescent="0.2">
      <c r="A3" s="159" t="s">
        <v>7084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410</v>
      </c>
      <c r="C4" s="159">
        <f>(_Pat_Gewicht/10)*1000</f>
        <v>0</v>
      </c>
      <c r="D4" s="159" t="s">
        <v>29</v>
      </c>
      <c r="G4" s="159" t="s">
        <v>7082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22" t="s">
        <v>414</v>
      </c>
      <c r="N5" s="923"/>
      <c r="O5" s="924" t="s">
        <v>5185</v>
      </c>
      <c r="P5" s="92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826" t="str">
        <f>IF(A24&lt;&gt;"","advies: "&amp;IF(NeoBerInfB!BC$23,"DOORVERDUNNEN",NeoBerInfB!S$23),"")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826" t="str">
        <f>IF(A27&lt;&gt;"","advies: "&amp;IF(NeoBerInfB!BC$24,"DOORVERDUNNEN",NeoBerInfB!S$24),"")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826" t="str">
        <f>IF(A30&lt;&gt;"","advies: "&amp;IF(NeoBerInfB!BC$25,"DOORVERDUNNEN",NeoBerInfB!S$25),"")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826" t="str">
        <f>IF(A33&lt;&gt;"","advies: "&amp;IF(NeoBerInfB!BC$26,"DOORVERDUNNEN",NeoBerInfB!S$26),"")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826" t="str">
        <f>IF(A36&lt;&gt;"","advies: "&amp;IF(NeoBerInfB!BC$27,"DOORVERDUNNEN",NeoBerInfB!S$27),"")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826" t="str">
        <f>IF(A39&lt;&gt;"","advies: "&amp;IF(NeoBerInfB!BC$28,"DOORVERDUNNEN",NeoBerInfB!S$28),"")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826" t="str">
        <f>IF(A42&lt;&gt;"","advies: "&amp;IF(NeoBerInfB!BC$29,"DOORVERDUNNEN",NeoBerInfB!S$29),"")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826" t="str">
        <f>IF(A45&lt;&gt;"","advies: "&amp;IF(NeoBerInfB!BC$30,"DOORVERDUNNEN",NeoBerInfB!S$30),"")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826" t="str">
        <f>IF(A48&lt;&gt;"","advies: "&amp;IF(NeoBerInfB!BC$31,"DOORVERDUNNEN",NeoBerInfB!S$31),"")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826" t="str">
        <f>IF(A51&lt;&gt;"","advies: "&amp;IF(NeoBerInfB!BC$32,"DOORVERDUNNEN",NeoBerInfB!S$32),"")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2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W52"/>
  <sheetViews>
    <sheetView workbookViewId="0">
      <selection activeCell="F21" sqref="F21"/>
    </sheetView>
  </sheetViews>
  <sheetFormatPr defaultColWidth="9.140625" defaultRowHeight="12.75" x14ac:dyDescent="0.2"/>
  <cols>
    <col min="1" max="1" width="9.140625" style="346"/>
    <col min="2" max="2" width="30.7109375" style="346" bestFit="1" customWidth="1"/>
    <col min="3" max="3" width="12.7109375" style="346" customWidth="1"/>
    <col min="4" max="4" width="18.7109375" style="346" customWidth="1"/>
    <col min="5" max="6" width="9.140625" style="346"/>
    <col min="7" max="11" width="11" style="346" customWidth="1"/>
    <col min="12" max="12" width="8.5703125" style="346" customWidth="1"/>
    <col min="13" max="13" width="22.5703125" style="346" customWidth="1"/>
    <col min="14" max="15" width="6.85546875" style="346" customWidth="1"/>
    <col min="16" max="16" width="37.85546875" style="346" customWidth="1"/>
    <col min="17" max="18" width="9.140625" style="346"/>
    <col min="19" max="19" width="22.140625" style="346" customWidth="1"/>
    <col min="20" max="20" width="26" style="346" customWidth="1"/>
    <col min="21" max="16384" width="9.140625" style="346"/>
  </cols>
  <sheetData>
    <row r="1" spans="1:23" x14ac:dyDescent="0.2">
      <c r="T1" s="347" t="s">
        <v>4126</v>
      </c>
    </row>
    <row r="2" spans="1:23" s="429" customFormat="1" ht="51" x14ac:dyDescent="0.2">
      <c r="A2" s="806"/>
      <c r="B2" s="810" t="s">
        <v>463</v>
      </c>
      <c r="C2" s="810" t="s">
        <v>3321</v>
      </c>
      <c r="D2" s="810" t="s">
        <v>4124</v>
      </c>
      <c r="E2" s="810" t="s">
        <v>4914</v>
      </c>
      <c r="F2" s="810" t="s">
        <v>4915</v>
      </c>
      <c r="G2" s="810" t="s">
        <v>848</v>
      </c>
      <c r="H2" s="810" t="s">
        <v>849</v>
      </c>
      <c r="I2" s="810" t="s">
        <v>847</v>
      </c>
      <c r="J2" s="810" t="s">
        <v>4909</v>
      </c>
      <c r="K2" s="810" t="s">
        <v>4907</v>
      </c>
      <c r="L2" s="810" t="s">
        <v>850</v>
      </c>
      <c r="M2" s="810" t="s">
        <v>4125</v>
      </c>
      <c r="N2" s="810" t="s">
        <v>4971</v>
      </c>
      <c r="O2" s="810" t="s">
        <v>43</v>
      </c>
      <c r="P2" s="810" t="s">
        <v>4927</v>
      </c>
      <c r="Q2" s="810" t="s">
        <v>4955</v>
      </c>
      <c r="R2" s="810" t="s">
        <v>4954</v>
      </c>
      <c r="S2" s="810" t="s">
        <v>4928</v>
      </c>
      <c r="T2" s="806" t="s">
        <v>464</v>
      </c>
      <c r="U2" s="806" t="s">
        <v>4076</v>
      </c>
      <c r="V2" s="807" t="s">
        <v>4120</v>
      </c>
      <c r="W2" s="807"/>
    </row>
    <row r="3" spans="1:23" x14ac:dyDescent="0.2">
      <c r="A3" s="808">
        <v>1</v>
      </c>
      <c r="B3" s="808"/>
      <c r="C3" s="808"/>
      <c r="D3" s="808"/>
      <c r="E3" s="808"/>
      <c r="F3" s="808"/>
      <c r="G3" s="808"/>
      <c r="H3" s="808"/>
      <c r="I3" s="809"/>
      <c r="J3" s="809"/>
      <c r="K3" s="809"/>
      <c r="L3" s="809">
        <v>1</v>
      </c>
      <c r="M3" s="809"/>
      <c r="N3" s="809"/>
      <c r="O3" s="809"/>
      <c r="P3" s="809"/>
      <c r="Q3" s="809"/>
      <c r="R3" s="809"/>
      <c r="S3" s="809"/>
      <c r="T3" s="808"/>
      <c r="U3" s="809"/>
      <c r="V3" s="809">
        <v>1</v>
      </c>
      <c r="W3" s="809"/>
    </row>
    <row r="4" spans="1:23" x14ac:dyDescent="0.2">
      <c r="A4" s="430">
        <f>A3+1</f>
        <v>2</v>
      </c>
      <c r="B4" s="800" t="s">
        <v>162</v>
      </c>
      <c r="C4" s="800" t="s">
        <v>121</v>
      </c>
      <c r="D4" s="800" t="s">
        <v>468</v>
      </c>
      <c r="E4" s="800">
        <v>0.1</v>
      </c>
      <c r="F4" s="800">
        <v>1</v>
      </c>
      <c r="G4" s="800">
        <v>0.05</v>
      </c>
      <c r="H4" s="800">
        <v>0.1</v>
      </c>
      <c r="I4" s="801">
        <v>0.501</v>
      </c>
      <c r="J4" s="801"/>
      <c r="K4" s="801">
        <v>0.1</v>
      </c>
      <c r="L4" s="801">
        <v>3</v>
      </c>
      <c r="M4" s="801"/>
      <c r="N4" s="801">
        <v>12</v>
      </c>
      <c r="O4" s="801">
        <v>0.5</v>
      </c>
      <c r="P4" s="801" t="s">
        <v>4929</v>
      </c>
      <c r="Q4" s="801">
        <v>1</v>
      </c>
      <c r="R4" s="801" t="s">
        <v>4930</v>
      </c>
      <c r="S4" s="801" t="s">
        <v>5211</v>
      </c>
      <c r="T4" s="808" t="s">
        <v>5186</v>
      </c>
      <c r="U4" s="809">
        <f t="shared" ref="U4:U26" si="0">HLOOKUP(C4,Tbl_Glob_Conv_EenhCont,VLOOKUP(D4,Tbl_Glob_Conv_EenhCont,2,FALSE),FALSE)</f>
        <v>16.666666666666668</v>
      </c>
      <c r="V4" s="809">
        <f>V3+1</f>
        <v>2</v>
      </c>
    </row>
    <row r="5" spans="1:23" x14ac:dyDescent="0.2">
      <c r="A5" s="430">
        <f t="shared" ref="A5:A26" si="1">A4+1</f>
        <v>3</v>
      </c>
      <c r="B5" s="800" t="s">
        <v>112</v>
      </c>
      <c r="C5" s="800" t="s">
        <v>121</v>
      </c>
      <c r="D5" s="800" t="s">
        <v>333</v>
      </c>
      <c r="E5" s="800">
        <v>0.5</v>
      </c>
      <c r="F5" s="800">
        <v>1</v>
      </c>
      <c r="G5" s="800">
        <v>10</v>
      </c>
      <c r="H5" s="800">
        <v>200</v>
      </c>
      <c r="I5" s="801">
        <v>200.01</v>
      </c>
      <c r="J5" s="801">
        <v>1.5E-3</v>
      </c>
      <c r="K5" s="801">
        <v>0.02</v>
      </c>
      <c r="L5" s="801">
        <v>3</v>
      </c>
      <c r="M5" s="801"/>
      <c r="N5" s="801">
        <v>12</v>
      </c>
      <c r="O5" s="801">
        <v>0.5</v>
      </c>
      <c r="P5" s="801" t="s">
        <v>4931</v>
      </c>
      <c r="Q5" s="801">
        <v>1</v>
      </c>
      <c r="R5" s="801" t="s">
        <v>4930</v>
      </c>
      <c r="S5" s="801" t="s">
        <v>5212</v>
      </c>
      <c r="T5" s="808" t="s">
        <v>5187</v>
      </c>
      <c r="U5" s="809">
        <f t="shared" si="0"/>
        <v>16666.666666666668</v>
      </c>
      <c r="V5" s="809">
        <f t="shared" ref="V5:V26" si="2">V4+1</f>
        <v>3</v>
      </c>
    </row>
    <row r="6" spans="1:23" x14ac:dyDescent="0.2">
      <c r="A6" s="430">
        <f t="shared" si="1"/>
        <v>4</v>
      </c>
      <c r="B6" s="800" t="s">
        <v>341</v>
      </c>
      <c r="C6" s="800" t="s">
        <v>121</v>
      </c>
      <c r="D6" s="800" t="s">
        <v>468</v>
      </c>
      <c r="E6" s="800">
        <v>50</v>
      </c>
      <c r="F6" s="800">
        <v>1</v>
      </c>
      <c r="G6" s="800">
        <v>5</v>
      </c>
      <c r="H6" s="800">
        <v>15</v>
      </c>
      <c r="I6" s="801">
        <v>15.01</v>
      </c>
      <c r="J6" s="801">
        <v>0.6</v>
      </c>
      <c r="K6" s="801">
        <v>50</v>
      </c>
      <c r="L6" s="801">
        <v>3</v>
      </c>
      <c r="M6" s="801"/>
      <c r="N6" s="801">
        <v>12</v>
      </c>
      <c r="O6" s="801">
        <v>0.5</v>
      </c>
      <c r="P6" s="801" t="s">
        <v>4932</v>
      </c>
      <c r="Q6" s="801">
        <v>1</v>
      </c>
      <c r="R6" s="801" t="s">
        <v>4930</v>
      </c>
      <c r="S6" s="801" t="s">
        <v>5213</v>
      </c>
      <c r="T6" s="808" t="s">
        <v>5188</v>
      </c>
      <c r="U6" s="809">
        <f t="shared" si="0"/>
        <v>16.666666666666668</v>
      </c>
      <c r="V6" s="809">
        <f t="shared" si="2"/>
        <v>4</v>
      </c>
    </row>
    <row r="7" spans="1:23" x14ac:dyDescent="0.2">
      <c r="A7" s="430">
        <f t="shared" si="1"/>
        <v>5</v>
      </c>
      <c r="B7" s="800" t="s">
        <v>5207</v>
      </c>
      <c r="C7" s="800" t="s">
        <v>122</v>
      </c>
      <c r="D7" s="800" t="s">
        <v>132</v>
      </c>
      <c r="E7" s="800">
        <v>1</v>
      </c>
      <c r="F7" s="800">
        <v>1</v>
      </c>
      <c r="G7" s="800">
        <v>1</v>
      </c>
      <c r="H7" s="800">
        <v>2</v>
      </c>
      <c r="I7" s="801">
        <v>1.01</v>
      </c>
      <c r="J7" s="801"/>
      <c r="K7" s="801"/>
      <c r="L7" s="801">
        <v>12</v>
      </c>
      <c r="M7" s="800" t="s">
        <v>4291</v>
      </c>
      <c r="N7" s="801">
        <v>24</v>
      </c>
      <c r="O7" s="801">
        <v>1</v>
      </c>
      <c r="P7" s="801" t="s">
        <v>4994</v>
      </c>
      <c r="Q7" s="801">
        <v>1</v>
      </c>
      <c r="R7" s="801" t="s">
        <v>4930</v>
      </c>
      <c r="S7" s="801" t="s">
        <v>5214</v>
      </c>
      <c r="T7" s="808" t="s">
        <v>5210</v>
      </c>
      <c r="U7" s="809">
        <f t="shared" si="0"/>
        <v>1</v>
      </c>
      <c r="V7" s="809">
        <f t="shared" si="2"/>
        <v>5</v>
      </c>
    </row>
    <row r="8" spans="1:23" x14ac:dyDescent="0.2">
      <c r="A8" s="430">
        <f t="shared" si="1"/>
        <v>6</v>
      </c>
      <c r="B8" s="800" t="s">
        <v>34</v>
      </c>
      <c r="C8" s="800" t="s">
        <v>121</v>
      </c>
      <c r="D8" s="800" t="s">
        <v>600</v>
      </c>
      <c r="E8" s="800">
        <v>0.15</v>
      </c>
      <c r="F8" s="800">
        <v>1</v>
      </c>
      <c r="G8" s="800">
        <v>0.25</v>
      </c>
      <c r="H8" s="800">
        <v>2</v>
      </c>
      <c r="I8" s="801">
        <v>2.0099999999999998</v>
      </c>
      <c r="J8" s="801"/>
      <c r="K8" s="801">
        <v>0.15</v>
      </c>
      <c r="L8" s="801">
        <v>12</v>
      </c>
      <c r="M8" s="801"/>
      <c r="N8" s="801">
        <v>12</v>
      </c>
      <c r="O8" s="801">
        <v>0.5</v>
      </c>
      <c r="P8" s="801" t="s">
        <v>4933</v>
      </c>
      <c r="Q8" s="801">
        <v>1</v>
      </c>
      <c r="R8" s="801" t="s">
        <v>4930</v>
      </c>
      <c r="S8" s="801" t="s">
        <v>5215</v>
      </c>
      <c r="T8" s="808" t="s">
        <v>5189</v>
      </c>
      <c r="U8" s="809">
        <f t="shared" si="0"/>
        <v>1000</v>
      </c>
      <c r="V8" s="809">
        <f t="shared" si="2"/>
        <v>6</v>
      </c>
    </row>
    <row r="9" spans="1:23" x14ac:dyDescent="0.2">
      <c r="A9" s="430">
        <f t="shared" si="1"/>
        <v>7</v>
      </c>
      <c r="B9" s="800" t="s">
        <v>260</v>
      </c>
      <c r="C9" s="800" t="s">
        <v>121</v>
      </c>
      <c r="D9" s="800" t="s">
        <v>468</v>
      </c>
      <c r="E9" s="800">
        <v>12.5</v>
      </c>
      <c r="F9" s="800">
        <v>1</v>
      </c>
      <c r="G9" s="800">
        <v>2</v>
      </c>
      <c r="H9" s="800">
        <v>20</v>
      </c>
      <c r="I9" s="801">
        <v>20.010000000000002</v>
      </c>
      <c r="J9" s="801"/>
      <c r="K9" s="801">
        <v>12.5</v>
      </c>
      <c r="L9" s="801">
        <v>3</v>
      </c>
      <c r="M9" s="801"/>
      <c r="N9" s="801">
        <v>12</v>
      </c>
      <c r="O9" s="801">
        <v>0.5</v>
      </c>
      <c r="P9" s="801" t="s">
        <v>4934</v>
      </c>
      <c r="Q9" s="801">
        <v>1</v>
      </c>
      <c r="R9" s="801" t="s">
        <v>4930</v>
      </c>
      <c r="S9" s="801" t="s">
        <v>5216</v>
      </c>
      <c r="T9" s="808" t="s">
        <v>5190</v>
      </c>
      <c r="U9" s="809">
        <f t="shared" si="0"/>
        <v>16.666666666666668</v>
      </c>
      <c r="V9" s="809">
        <f t="shared" si="2"/>
        <v>7</v>
      </c>
    </row>
    <row r="10" spans="1:23" s="347" customFormat="1" x14ac:dyDescent="0.2">
      <c r="A10" s="430">
        <f t="shared" si="1"/>
        <v>8</v>
      </c>
      <c r="B10" s="802" t="s">
        <v>234</v>
      </c>
      <c r="C10" s="800" t="s">
        <v>121</v>
      </c>
      <c r="D10" s="803" t="s">
        <v>468</v>
      </c>
      <c r="E10" s="802">
        <v>40</v>
      </c>
      <c r="F10" s="802">
        <v>1</v>
      </c>
      <c r="G10" s="800">
        <v>1</v>
      </c>
      <c r="H10" s="800">
        <v>20</v>
      </c>
      <c r="I10" s="419">
        <v>20.010000000000002</v>
      </c>
      <c r="J10" s="419"/>
      <c r="K10" s="419">
        <v>40</v>
      </c>
      <c r="L10" s="419">
        <v>3</v>
      </c>
      <c r="M10" s="419"/>
      <c r="N10" s="419">
        <v>12</v>
      </c>
      <c r="O10" s="801">
        <v>0.5</v>
      </c>
      <c r="P10" s="419" t="s">
        <v>4935</v>
      </c>
      <c r="Q10" s="419">
        <v>1</v>
      </c>
      <c r="R10" s="419" t="s">
        <v>4930</v>
      </c>
      <c r="S10" s="419" t="s">
        <v>5217</v>
      </c>
      <c r="T10" s="808" t="s">
        <v>5191</v>
      </c>
      <c r="U10" s="809">
        <f t="shared" si="0"/>
        <v>16.666666666666668</v>
      </c>
      <c r="V10" s="809">
        <f t="shared" si="2"/>
        <v>8</v>
      </c>
    </row>
    <row r="11" spans="1:23" x14ac:dyDescent="0.2">
      <c r="A11" s="430">
        <f t="shared" si="1"/>
        <v>9</v>
      </c>
      <c r="B11" s="800" t="s">
        <v>5208</v>
      </c>
      <c r="C11" s="800" t="s">
        <v>121</v>
      </c>
      <c r="D11" s="800" t="s">
        <v>288</v>
      </c>
      <c r="E11" s="800">
        <v>2</v>
      </c>
      <c r="F11" s="800">
        <v>1</v>
      </c>
      <c r="G11" s="800">
        <v>0.5</v>
      </c>
      <c r="H11" s="800">
        <v>2</v>
      </c>
      <c r="I11" s="800">
        <v>2.0099999999999998</v>
      </c>
      <c r="J11" s="801"/>
      <c r="K11" s="804">
        <v>2</v>
      </c>
      <c r="L11" s="801">
        <v>1</v>
      </c>
      <c r="M11" s="800"/>
      <c r="N11" s="800">
        <v>12</v>
      </c>
      <c r="O11" s="800">
        <v>0.5</v>
      </c>
      <c r="P11" s="800" t="s">
        <v>4936</v>
      </c>
      <c r="Q11" s="800">
        <v>1</v>
      </c>
      <c r="R11" s="800" t="s">
        <v>4930</v>
      </c>
      <c r="S11" s="800" t="s">
        <v>5218</v>
      </c>
      <c r="T11" s="808" t="s">
        <v>5192</v>
      </c>
      <c r="U11" s="809">
        <f t="shared" si="0"/>
        <v>1</v>
      </c>
      <c r="V11" s="809">
        <f t="shared" si="2"/>
        <v>9</v>
      </c>
    </row>
    <row r="12" spans="1:23" x14ac:dyDescent="0.2">
      <c r="A12" s="430">
        <f t="shared" si="1"/>
        <v>10</v>
      </c>
      <c r="B12" s="800" t="s">
        <v>76</v>
      </c>
      <c r="C12" s="800" t="s">
        <v>121</v>
      </c>
      <c r="D12" s="800" t="s">
        <v>333</v>
      </c>
      <c r="E12" s="800">
        <v>0.01</v>
      </c>
      <c r="F12" s="800">
        <v>1</v>
      </c>
      <c r="G12" s="800">
        <v>5</v>
      </c>
      <c r="H12" s="800">
        <v>40</v>
      </c>
      <c r="I12" s="800">
        <v>40.01</v>
      </c>
      <c r="J12" s="801">
        <v>5.0000000000000001E-3</v>
      </c>
      <c r="K12" s="804">
        <v>0.01</v>
      </c>
      <c r="L12" s="801">
        <v>1</v>
      </c>
      <c r="M12" s="800"/>
      <c r="N12" s="800">
        <v>12</v>
      </c>
      <c r="O12" s="800">
        <v>0.5</v>
      </c>
      <c r="P12" s="800" t="s">
        <v>4937</v>
      </c>
      <c r="Q12" s="800">
        <v>1</v>
      </c>
      <c r="R12" s="800" t="s">
        <v>4930</v>
      </c>
      <c r="S12" s="800" t="s">
        <v>4995</v>
      </c>
      <c r="T12" s="808" t="s">
        <v>5193</v>
      </c>
      <c r="U12" s="809">
        <f t="shared" si="0"/>
        <v>16666.666666666668</v>
      </c>
      <c r="V12" s="809">
        <f t="shared" si="2"/>
        <v>10</v>
      </c>
    </row>
    <row r="13" spans="1:23" x14ac:dyDescent="0.2">
      <c r="A13" s="430">
        <f t="shared" si="1"/>
        <v>11</v>
      </c>
      <c r="B13" s="800" t="s">
        <v>369</v>
      </c>
      <c r="C13" s="800" t="s">
        <v>121</v>
      </c>
      <c r="D13" s="800" t="s">
        <v>376</v>
      </c>
      <c r="E13" s="800">
        <v>10</v>
      </c>
      <c r="F13" s="800">
        <v>1</v>
      </c>
      <c r="G13" s="800">
        <v>0.1</v>
      </c>
      <c r="H13" s="800">
        <v>1</v>
      </c>
      <c r="I13" s="801">
        <v>1.01</v>
      </c>
      <c r="J13" s="801"/>
      <c r="K13" s="801">
        <v>10</v>
      </c>
      <c r="L13" s="801">
        <v>3</v>
      </c>
      <c r="M13" s="801"/>
      <c r="N13" s="800">
        <v>12</v>
      </c>
      <c r="O13" s="800">
        <v>0.5</v>
      </c>
      <c r="P13" s="801" t="s">
        <v>4938</v>
      </c>
      <c r="Q13" s="801">
        <v>1</v>
      </c>
      <c r="R13" s="801" t="s">
        <v>4930</v>
      </c>
      <c r="S13" s="801" t="s">
        <v>4996</v>
      </c>
      <c r="T13" s="808" t="s">
        <v>5194</v>
      </c>
      <c r="U13" s="809">
        <f t="shared" si="0"/>
        <v>1.6666666666666666E-2</v>
      </c>
      <c r="V13" s="809">
        <f t="shared" si="2"/>
        <v>11</v>
      </c>
    </row>
    <row r="14" spans="1:23" x14ac:dyDescent="0.2">
      <c r="A14" s="430">
        <f t="shared" si="1"/>
        <v>12</v>
      </c>
      <c r="B14" s="800" t="s">
        <v>126</v>
      </c>
      <c r="C14" s="800" t="s">
        <v>121</v>
      </c>
      <c r="D14" s="800" t="s">
        <v>289</v>
      </c>
      <c r="E14" s="800">
        <v>10</v>
      </c>
      <c r="F14" s="800">
        <v>1</v>
      </c>
      <c r="G14" s="800">
        <v>1</v>
      </c>
      <c r="H14" s="800">
        <v>4</v>
      </c>
      <c r="I14" s="801">
        <v>4.01</v>
      </c>
      <c r="J14" s="801">
        <v>0.1</v>
      </c>
      <c r="K14" s="801">
        <v>10</v>
      </c>
      <c r="L14" s="801">
        <v>3</v>
      </c>
      <c r="M14" s="801"/>
      <c r="N14" s="800">
        <v>12</v>
      </c>
      <c r="O14" s="800">
        <v>0.5</v>
      </c>
      <c r="P14" s="801" t="s">
        <v>4939</v>
      </c>
      <c r="Q14" s="801">
        <v>1</v>
      </c>
      <c r="R14" s="801" t="s">
        <v>4930</v>
      </c>
      <c r="S14" s="801" t="s">
        <v>4997</v>
      </c>
      <c r="T14" s="808" t="s">
        <v>5195</v>
      </c>
      <c r="U14" s="809">
        <f t="shared" si="0"/>
        <v>24</v>
      </c>
      <c r="V14" s="809">
        <f t="shared" si="2"/>
        <v>12</v>
      </c>
    </row>
    <row r="15" spans="1:23" x14ac:dyDescent="0.2">
      <c r="A15" s="430">
        <f t="shared" si="1"/>
        <v>13</v>
      </c>
      <c r="B15" s="419" t="s">
        <v>371</v>
      </c>
      <c r="C15" s="800" t="s">
        <v>4083</v>
      </c>
      <c r="D15" s="805" t="s">
        <v>142</v>
      </c>
      <c r="E15" s="800">
        <v>1</v>
      </c>
      <c r="F15" s="800">
        <v>1</v>
      </c>
      <c r="G15" s="800">
        <v>0.01</v>
      </c>
      <c r="H15" s="800">
        <v>0.1</v>
      </c>
      <c r="I15" s="801">
        <v>0.10100000000000001</v>
      </c>
      <c r="J15" s="801"/>
      <c r="K15" s="801">
        <v>1</v>
      </c>
      <c r="L15" s="801">
        <v>12</v>
      </c>
      <c r="M15" s="801"/>
      <c r="N15" s="800">
        <v>12</v>
      </c>
      <c r="O15" s="800">
        <v>0.5</v>
      </c>
      <c r="P15" s="801" t="s">
        <v>4940</v>
      </c>
      <c r="Q15" s="801">
        <v>1</v>
      </c>
      <c r="R15" s="801" t="s">
        <v>4930</v>
      </c>
      <c r="S15" s="801" t="s">
        <v>4998</v>
      </c>
      <c r="T15" s="808" t="s">
        <v>5196</v>
      </c>
      <c r="U15" s="809">
        <f t="shared" si="0"/>
        <v>1</v>
      </c>
      <c r="V15" s="809">
        <f t="shared" si="2"/>
        <v>13</v>
      </c>
    </row>
    <row r="16" spans="1:23" x14ac:dyDescent="0.2">
      <c r="A16" s="430">
        <f t="shared" si="1"/>
        <v>14</v>
      </c>
      <c r="B16" s="419" t="s">
        <v>313</v>
      </c>
      <c r="C16" s="800" t="s">
        <v>121</v>
      </c>
      <c r="D16" s="805" t="s">
        <v>468</v>
      </c>
      <c r="E16" s="800">
        <v>1</v>
      </c>
      <c r="F16" s="800">
        <v>1</v>
      </c>
      <c r="G16" s="800">
        <v>0.01</v>
      </c>
      <c r="H16" s="800">
        <v>1.5</v>
      </c>
      <c r="I16" s="801">
        <v>1.5009999999999999</v>
      </c>
      <c r="J16" s="801"/>
      <c r="K16" s="801">
        <v>1</v>
      </c>
      <c r="L16" s="801">
        <v>3</v>
      </c>
      <c r="M16" s="801"/>
      <c r="N16" s="800">
        <v>12</v>
      </c>
      <c r="O16" s="800">
        <v>0.5</v>
      </c>
      <c r="P16" s="801" t="s">
        <v>4941</v>
      </c>
      <c r="Q16" s="801">
        <v>1</v>
      </c>
      <c r="R16" s="801" t="s">
        <v>4930</v>
      </c>
      <c r="S16" s="801" t="s">
        <v>5219</v>
      </c>
      <c r="T16" s="808" t="s">
        <v>5197</v>
      </c>
      <c r="U16" s="809">
        <f t="shared" si="0"/>
        <v>16.666666666666668</v>
      </c>
      <c r="V16" s="809">
        <f t="shared" si="2"/>
        <v>14</v>
      </c>
    </row>
    <row r="17" spans="1:22" x14ac:dyDescent="0.2">
      <c r="A17" s="430">
        <f t="shared" si="1"/>
        <v>15</v>
      </c>
      <c r="B17" s="419" t="s">
        <v>372</v>
      </c>
      <c r="C17" s="800" t="s">
        <v>121</v>
      </c>
      <c r="D17" s="805" t="s">
        <v>288</v>
      </c>
      <c r="E17" s="800">
        <v>5</v>
      </c>
      <c r="F17" s="800">
        <v>1</v>
      </c>
      <c r="G17" s="800">
        <v>0.25</v>
      </c>
      <c r="H17" s="800">
        <v>3</v>
      </c>
      <c r="I17" s="801">
        <v>3.01</v>
      </c>
      <c r="J17" s="801"/>
      <c r="K17" s="801">
        <v>5</v>
      </c>
      <c r="L17" s="801">
        <v>3</v>
      </c>
      <c r="M17" s="801"/>
      <c r="N17" s="800">
        <v>12</v>
      </c>
      <c r="O17" s="800">
        <v>0.5</v>
      </c>
      <c r="P17" s="801" t="s">
        <v>4942</v>
      </c>
      <c r="Q17" s="801">
        <v>1</v>
      </c>
      <c r="R17" s="801" t="s">
        <v>4930</v>
      </c>
      <c r="S17" s="801" t="s">
        <v>5220</v>
      </c>
      <c r="T17" s="808" t="s">
        <v>5198</v>
      </c>
      <c r="U17" s="809">
        <f t="shared" si="0"/>
        <v>1</v>
      </c>
      <c r="V17" s="809">
        <f t="shared" si="2"/>
        <v>15</v>
      </c>
    </row>
    <row r="18" spans="1:22" x14ac:dyDescent="0.2">
      <c r="A18" s="430">
        <f t="shared" si="1"/>
        <v>16</v>
      </c>
      <c r="B18" s="419" t="s">
        <v>4289</v>
      </c>
      <c r="C18" s="800" t="s">
        <v>121</v>
      </c>
      <c r="D18" s="805" t="s">
        <v>288</v>
      </c>
      <c r="E18" s="800">
        <v>20</v>
      </c>
      <c r="F18" s="800">
        <v>1</v>
      </c>
      <c r="G18" s="800">
        <v>5</v>
      </c>
      <c r="H18" s="800">
        <v>7</v>
      </c>
      <c r="I18" s="801">
        <v>7.01</v>
      </c>
      <c r="J18" s="801"/>
      <c r="K18" s="801">
        <v>20</v>
      </c>
      <c r="L18" s="801">
        <v>3</v>
      </c>
      <c r="M18" s="801"/>
      <c r="N18" s="800">
        <v>48</v>
      </c>
      <c r="O18" s="800">
        <v>2</v>
      </c>
      <c r="P18" s="801" t="s">
        <v>4943</v>
      </c>
      <c r="Q18" s="801">
        <v>1</v>
      </c>
      <c r="R18" s="801" t="s">
        <v>4930</v>
      </c>
      <c r="S18" s="801" t="s">
        <v>5221</v>
      </c>
      <c r="T18" s="808" t="s">
        <v>5199</v>
      </c>
      <c r="U18" s="809">
        <f t="shared" si="0"/>
        <v>1</v>
      </c>
      <c r="V18" s="809">
        <f t="shared" si="2"/>
        <v>16</v>
      </c>
    </row>
    <row r="19" spans="1:22" x14ac:dyDescent="0.2">
      <c r="A19" s="430">
        <f t="shared" si="1"/>
        <v>17</v>
      </c>
      <c r="B19" s="800" t="s">
        <v>283</v>
      </c>
      <c r="C19" s="800" t="s">
        <v>121</v>
      </c>
      <c r="D19" s="800" t="s">
        <v>288</v>
      </c>
      <c r="E19" s="800">
        <v>5</v>
      </c>
      <c r="F19" s="800">
        <v>1</v>
      </c>
      <c r="G19" s="800">
        <v>0.05</v>
      </c>
      <c r="H19" s="800">
        <v>5</v>
      </c>
      <c r="I19" s="801">
        <v>5.01</v>
      </c>
      <c r="J19" s="801"/>
      <c r="K19" s="801">
        <v>5</v>
      </c>
      <c r="L19" s="801">
        <v>3</v>
      </c>
      <c r="M19" s="800"/>
      <c r="N19" s="800">
        <v>12</v>
      </c>
      <c r="O19" s="800">
        <v>0.5</v>
      </c>
      <c r="P19" s="800" t="s">
        <v>4944</v>
      </c>
      <c r="Q19" s="800">
        <v>1</v>
      </c>
      <c r="R19" s="800" t="s">
        <v>4930</v>
      </c>
      <c r="S19" s="800" t="s">
        <v>5222</v>
      </c>
      <c r="T19" s="808" t="s">
        <v>5200</v>
      </c>
      <c r="U19" s="809">
        <f t="shared" si="0"/>
        <v>1</v>
      </c>
      <c r="V19" s="809">
        <f t="shared" si="2"/>
        <v>17</v>
      </c>
    </row>
    <row r="20" spans="1:22" x14ac:dyDescent="0.2">
      <c r="A20" s="430">
        <f t="shared" si="1"/>
        <v>18</v>
      </c>
      <c r="B20" s="419" t="s">
        <v>374</v>
      </c>
      <c r="C20" s="800" t="s">
        <v>121</v>
      </c>
      <c r="D20" s="805" t="s">
        <v>468</v>
      </c>
      <c r="E20" s="800">
        <v>1</v>
      </c>
      <c r="F20" s="800">
        <v>1</v>
      </c>
      <c r="G20" s="800">
        <v>0.25</v>
      </c>
      <c r="H20" s="800">
        <v>0.75</v>
      </c>
      <c r="I20" s="801">
        <v>0.75009999999999999</v>
      </c>
      <c r="J20" s="801"/>
      <c r="K20" s="801">
        <v>1</v>
      </c>
      <c r="L20" s="801">
        <v>3</v>
      </c>
      <c r="M20" s="801"/>
      <c r="N20" s="800">
        <v>12</v>
      </c>
      <c r="O20" s="800">
        <v>0.5</v>
      </c>
      <c r="P20" s="801" t="s">
        <v>4945</v>
      </c>
      <c r="Q20" s="801">
        <v>1</v>
      </c>
      <c r="R20" s="801" t="s">
        <v>4930</v>
      </c>
      <c r="S20" s="801" t="s">
        <v>5223</v>
      </c>
      <c r="T20" s="808" t="s">
        <v>5201</v>
      </c>
      <c r="U20" s="809">
        <f t="shared" si="0"/>
        <v>16.666666666666668</v>
      </c>
      <c r="V20" s="809">
        <f t="shared" si="2"/>
        <v>18</v>
      </c>
    </row>
    <row r="21" spans="1:22" x14ac:dyDescent="0.2">
      <c r="A21" s="430">
        <f t="shared" si="1"/>
        <v>19</v>
      </c>
      <c r="B21" s="419" t="s">
        <v>90</v>
      </c>
      <c r="C21" s="800" t="s">
        <v>121</v>
      </c>
      <c r="D21" s="805" t="s">
        <v>289</v>
      </c>
      <c r="E21" s="800">
        <v>1</v>
      </c>
      <c r="F21" s="800">
        <v>1</v>
      </c>
      <c r="G21" s="800">
        <v>0.125</v>
      </c>
      <c r="H21" s="800">
        <v>0.5</v>
      </c>
      <c r="I21" s="801">
        <v>0.501</v>
      </c>
      <c r="J21" s="801"/>
      <c r="K21" s="801">
        <v>1</v>
      </c>
      <c r="L21" s="801">
        <v>3</v>
      </c>
      <c r="M21" s="801"/>
      <c r="N21" s="800">
        <v>12</v>
      </c>
      <c r="O21" s="800">
        <v>0.5</v>
      </c>
      <c r="P21" s="801" t="s">
        <v>4946</v>
      </c>
      <c r="Q21" s="801">
        <v>1</v>
      </c>
      <c r="R21" s="801" t="s">
        <v>4930</v>
      </c>
      <c r="S21" s="801" t="s">
        <v>5224</v>
      </c>
      <c r="T21" s="808" t="s">
        <v>5202</v>
      </c>
      <c r="U21" s="809">
        <f t="shared" si="0"/>
        <v>24</v>
      </c>
      <c r="V21" s="809">
        <f t="shared" si="2"/>
        <v>19</v>
      </c>
    </row>
    <row r="22" spans="1:22" x14ac:dyDescent="0.2">
      <c r="A22" s="430">
        <f t="shared" si="1"/>
        <v>20</v>
      </c>
      <c r="B22" s="419" t="s">
        <v>4290</v>
      </c>
      <c r="C22" s="800" t="s">
        <v>121</v>
      </c>
      <c r="D22" s="805" t="s">
        <v>468</v>
      </c>
      <c r="E22" s="800">
        <v>1</v>
      </c>
      <c r="F22" s="800">
        <v>1</v>
      </c>
      <c r="G22" s="800">
        <v>0.5</v>
      </c>
      <c r="H22" s="800">
        <v>2</v>
      </c>
      <c r="I22" s="801">
        <v>2.0099999999999998</v>
      </c>
      <c r="J22" s="801"/>
      <c r="K22" s="801">
        <v>1</v>
      </c>
      <c r="L22" s="801">
        <v>3</v>
      </c>
      <c r="M22" s="801"/>
      <c r="N22" s="800">
        <v>12</v>
      </c>
      <c r="O22" s="800">
        <v>0.5</v>
      </c>
      <c r="P22" s="801" t="s">
        <v>4947</v>
      </c>
      <c r="Q22" s="801">
        <v>1</v>
      </c>
      <c r="R22" s="801" t="s">
        <v>4930</v>
      </c>
      <c r="S22" s="801" t="s">
        <v>5225</v>
      </c>
      <c r="T22" s="808" t="s">
        <v>5203</v>
      </c>
      <c r="U22" s="809">
        <f t="shared" si="0"/>
        <v>16.666666666666668</v>
      </c>
      <c r="V22" s="809">
        <f t="shared" si="2"/>
        <v>20</v>
      </c>
    </row>
    <row r="23" spans="1:22" x14ac:dyDescent="0.2">
      <c r="A23" s="430">
        <f t="shared" si="1"/>
        <v>21</v>
      </c>
      <c r="B23" s="800" t="s">
        <v>49</v>
      </c>
      <c r="C23" s="800" t="s">
        <v>121</v>
      </c>
      <c r="D23" s="800" t="s">
        <v>468</v>
      </c>
      <c r="E23" s="800">
        <v>10</v>
      </c>
      <c r="F23" s="800">
        <v>1</v>
      </c>
      <c r="G23" s="800">
        <v>0.5</v>
      </c>
      <c r="H23" s="800">
        <v>8</v>
      </c>
      <c r="I23" s="801">
        <v>8.01</v>
      </c>
      <c r="J23" s="801"/>
      <c r="K23" s="801">
        <v>10</v>
      </c>
      <c r="L23" s="801">
        <v>3</v>
      </c>
      <c r="M23" s="801"/>
      <c r="N23" s="800">
        <v>12</v>
      </c>
      <c r="O23" s="800">
        <v>0.5</v>
      </c>
      <c r="P23" s="801" t="s">
        <v>4948</v>
      </c>
      <c r="Q23" s="801">
        <v>1</v>
      </c>
      <c r="R23" s="801" t="s">
        <v>4930</v>
      </c>
      <c r="S23" s="801" t="s">
        <v>5226</v>
      </c>
      <c r="T23" s="808" t="s">
        <v>5204</v>
      </c>
      <c r="U23" s="809">
        <f t="shared" si="0"/>
        <v>16.666666666666668</v>
      </c>
      <c r="V23" s="809">
        <f t="shared" si="2"/>
        <v>21</v>
      </c>
    </row>
    <row r="24" spans="1:22" x14ac:dyDescent="0.2">
      <c r="A24" s="430">
        <f t="shared" si="1"/>
        <v>22</v>
      </c>
      <c r="B24" s="419" t="s">
        <v>309</v>
      </c>
      <c r="C24" s="800" t="s">
        <v>121</v>
      </c>
      <c r="D24" s="805" t="s">
        <v>468</v>
      </c>
      <c r="E24" s="800">
        <v>1</v>
      </c>
      <c r="F24" s="800">
        <v>1</v>
      </c>
      <c r="G24" s="800">
        <v>0.05</v>
      </c>
      <c r="H24" s="800">
        <v>2</v>
      </c>
      <c r="I24" s="801">
        <v>2.0099999999999998</v>
      </c>
      <c r="J24" s="801"/>
      <c r="K24" s="801">
        <v>1</v>
      </c>
      <c r="L24" s="801">
        <v>3</v>
      </c>
      <c r="M24" s="801"/>
      <c r="N24" s="800">
        <v>12</v>
      </c>
      <c r="O24" s="800">
        <v>0.5</v>
      </c>
      <c r="P24" s="801" t="s">
        <v>4949</v>
      </c>
      <c r="Q24" s="801">
        <v>1</v>
      </c>
      <c r="R24" s="801" t="s">
        <v>4930</v>
      </c>
      <c r="S24" s="801" t="s">
        <v>5227</v>
      </c>
      <c r="T24" s="808" t="s">
        <v>5205</v>
      </c>
      <c r="U24" s="809">
        <f t="shared" si="0"/>
        <v>16.666666666666668</v>
      </c>
      <c r="V24" s="809">
        <f t="shared" si="2"/>
        <v>22</v>
      </c>
    </row>
    <row r="25" spans="1:22" x14ac:dyDescent="0.2">
      <c r="A25" s="430">
        <f t="shared" si="1"/>
        <v>23</v>
      </c>
      <c r="B25" s="419" t="s">
        <v>211</v>
      </c>
      <c r="C25" s="800" t="s">
        <v>121</v>
      </c>
      <c r="D25" s="805" t="s">
        <v>288</v>
      </c>
      <c r="E25" s="800">
        <v>10</v>
      </c>
      <c r="F25" s="800">
        <v>1</v>
      </c>
      <c r="G25" s="800">
        <v>0.3</v>
      </c>
      <c r="H25" s="800">
        <v>2.2000000000000002</v>
      </c>
      <c r="I25" s="801">
        <v>2.2010000000000001</v>
      </c>
      <c r="J25" s="801"/>
      <c r="K25" s="801">
        <v>10</v>
      </c>
      <c r="L25" s="801">
        <v>3</v>
      </c>
      <c r="M25" s="801"/>
      <c r="N25" s="800">
        <v>12</v>
      </c>
      <c r="O25" s="800">
        <v>0.5</v>
      </c>
      <c r="P25" s="801" t="s">
        <v>4950</v>
      </c>
      <c r="Q25" s="801">
        <v>1</v>
      </c>
      <c r="R25" s="801" t="s">
        <v>4930</v>
      </c>
      <c r="S25" s="801" t="s">
        <v>5228</v>
      </c>
      <c r="T25" s="808" t="s">
        <v>5206</v>
      </c>
      <c r="U25" s="809">
        <f t="shared" si="0"/>
        <v>1</v>
      </c>
      <c r="V25" s="809">
        <f t="shared" si="2"/>
        <v>23</v>
      </c>
    </row>
    <row r="26" spans="1:22" x14ac:dyDescent="0.2">
      <c r="A26" s="430">
        <f t="shared" si="1"/>
        <v>24</v>
      </c>
      <c r="B26" s="419" t="s">
        <v>5209</v>
      </c>
      <c r="C26" s="800" t="s">
        <v>122</v>
      </c>
      <c r="D26" s="805" t="s">
        <v>132</v>
      </c>
      <c r="E26" s="800">
        <v>1</v>
      </c>
      <c r="F26" s="800">
        <v>1</v>
      </c>
      <c r="G26" s="800">
        <v>1</v>
      </c>
      <c r="H26" s="800">
        <v>2</v>
      </c>
      <c r="I26" s="801">
        <v>1.01</v>
      </c>
      <c r="J26" s="801"/>
      <c r="K26" s="801"/>
      <c r="L26" s="801">
        <v>12</v>
      </c>
      <c r="M26" s="800" t="s">
        <v>4291</v>
      </c>
      <c r="N26" s="800">
        <v>24</v>
      </c>
      <c r="O26" s="800">
        <v>1</v>
      </c>
      <c r="P26" s="801" t="s">
        <v>4999</v>
      </c>
      <c r="Q26" s="801">
        <v>1</v>
      </c>
      <c r="R26" s="801" t="s">
        <v>4930</v>
      </c>
      <c r="S26" s="801" t="s">
        <v>5229</v>
      </c>
      <c r="T26" s="808" t="s">
        <v>5210</v>
      </c>
      <c r="U26" s="809">
        <f t="shared" si="0"/>
        <v>1</v>
      </c>
      <c r="V26" s="809">
        <f t="shared" si="2"/>
        <v>24</v>
      </c>
    </row>
    <row r="27" spans="1:22" s="628" customFormat="1" x14ac:dyDescent="0.2">
      <c r="A27" s="627" t="s">
        <v>4114</v>
      </c>
      <c r="B27" s="628">
        <v>1</v>
      </c>
      <c r="C27" s="628">
        <f>B27+1</f>
        <v>2</v>
      </c>
      <c r="D27" s="628">
        <f t="shared" ref="D27:I27" si="3">C27+1</f>
        <v>3</v>
      </c>
      <c r="E27" s="628">
        <f t="shared" si="3"/>
        <v>4</v>
      </c>
      <c r="F27" s="628">
        <f t="shared" si="3"/>
        <v>5</v>
      </c>
      <c r="G27" s="628">
        <f t="shared" si="3"/>
        <v>6</v>
      </c>
      <c r="H27" s="628">
        <f t="shared" si="3"/>
        <v>7</v>
      </c>
      <c r="I27" s="628">
        <f t="shared" si="3"/>
        <v>8</v>
      </c>
      <c r="J27" s="628">
        <f t="shared" ref="J27" si="4">I27+1</f>
        <v>9</v>
      </c>
      <c r="K27" s="628">
        <f t="shared" ref="K27" si="5">J27+1</f>
        <v>10</v>
      </c>
      <c r="L27" s="628">
        <f t="shared" ref="L27" si="6">K27+1</f>
        <v>11</v>
      </c>
      <c r="M27" s="628">
        <f t="shared" ref="M27" si="7">L27+1</f>
        <v>12</v>
      </c>
      <c r="N27" s="628">
        <f t="shared" ref="N27" si="8">M27+1</f>
        <v>13</v>
      </c>
      <c r="O27" s="628">
        <f t="shared" ref="O27" si="9">N27+1</f>
        <v>14</v>
      </c>
      <c r="P27" s="628">
        <f t="shared" ref="P27" si="10">O27+1</f>
        <v>15</v>
      </c>
      <c r="Q27" s="628">
        <f t="shared" ref="Q27" si="11">P27+1</f>
        <v>16</v>
      </c>
      <c r="R27" s="628">
        <f t="shared" ref="R27" si="12">Q27+1</f>
        <v>17</v>
      </c>
      <c r="S27" s="628">
        <f t="shared" ref="S27" si="13">R27+1</f>
        <v>18</v>
      </c>
      <c r="T27" s="628">
        <f t="shared" ref="T27" si="14">S27+1</f>
        <v>19</v>
      </c>
      <c r="U27" s="628">
        <f t="shared" ref="U27" si="15">T27+1</f>
        <v>20</v>
      </c>
      <c r="V27" s="628">
        <v>21</v>
      </c>
    </row>
    <row r="29" spans="1:22" x14ac:dyDescent="0.2">
      <c r="B29" s="444" t="s">
        <v>7080</v>
      </c>
    </row>
    <row r="30" spans="1:22" ht="12.75" customHeight="1" x14ac:dyDescent="0.2">
      <c r="B30" s="926" t="s">
        <v>5230</v>
      </c>
      <c r="C30" s="926"/>
      <c r="D30" s="926"/>
      <c r="E30" s="926"/>
      <c r="F30" s="926"/>
      <c r="G30" s="926"/>
      <c r="H30" s="926"/>
      <c r="I30" s="926"/>
      <c r="J30" s="926"/>
      <c r="K30" s="926"/>
      <c r="L30" s="926"/>
      <c r="T30" s="429"/>
    </row>
    <row r="31" spans="1:22" x14ac:dyDescent="0.2">
      <c r="B31" s="926"/>
      <c r="C31" s="926"/>
      <c r="D31" s="926"/>
      <c r="E31" s="926"/>
      <c r="F31" s="926"/>
      <c r="G31" s="926"/>
      <c r="H31" s="926"/>
      <c r="I31" s="926"/>
      <c r="J31" s="926"/>
      <c r="K31" s="926"/>
      <c r="L31" s="926"/>
      <c r="T31" s="429"/>
    </row>
    <row r="32" spans="1:22" x14ac:dyDescent="0.2">
      <c r="B32" s="926"/>
      <c r="C32" s="926"/>
      <c r="D32" s="926"/>
      <c r="E32" s="926"/>
      <c r="F32" s="926"/>
      <c r="G32" s="926"/>
      <c r="H32" s="926"/>
      <c r="I32" s="926"/>
      <c r="J32" s="926"/>
      <c r="K32" s="926"/>
      <c r="L32" s="926"/>
      <c r="T32" s="429"/>
    </row>
    <row r="33" spans="2:20" x14ac:dyDescent="0.2">
      <c r="B33" s="926"/>
      <c r="C33" s="926"/>
      <c r="D33" s="926"/>
      <c r="E33" s="926"/>
      <c r="F33" s="926"/>
      <c r="G33" s="926"/>
      <c r="H33" s="926"/>
      <c r="I33" s="926"/>
      <c r="J33" s="926"/>
      <c r="K33" s="926"/>
      <c r="L33" s="926"/>
      <c r="T33" s="429"/>
    </row>
    <row r="34" spans="2:20" x14ac:dyDescent="0.2">
      <c r="B34" s="926"/>
      <c r="C34" s="926"/>
      <c r="D34" s="926"/>
      <c r="E34" s="926"/>
      <c r="F34" s="926"/>
      <c r="G34" s="926"/>
      <c r="H34" s="926"/>
      <c r="I34" s="926"/>
      <c r="J34" s="926"/>
      <c r="K34" s="926"/>
      <c r="L34" s="926"/>
      <c r="T34" s="429"/>
    </row>
    <row r="35" spans="2:20" x14ac:dyDescent="0.2">
      <c r="B35" s="926"/>
      <c r="C35" s="926"/>
      <c r="D35" s="926"/>
      <c r="E35" s="926"/>
      <c r="F35" s="926"/>
      <c r="G35" s="926"/>
      <c r="H35" s="926"/>
      <c r="I35" s="926"/>
      <c r="J35" s="926"/>
      <c r="K35" s="926"/>
      <c r="L35" s="926"/>
      <c r="T35" s="429"/>
    </row>
    <row r="36" spans="2:20" x14ac:dyDescent="0.2">
      <c r="B36" s="926"/>
      <c r="C36" s="926"/>
      <c r="D36" s="926"/>
      <c r="E36" s="926"/>
      <c r="F36" s="926"/>
      <c r="G36" s="926"/>
      <c r="H36" s="926"/>
      <c r="I36" s="926"/>
      <c r="J36" s="926"/>
      <c r="K36" s="926"/>
      <c r="L36" s="926"/>
      <c r="T36" s="429"/>
    </row>
    <row r="37" spans="2:20" x14ac:dyDescent="0.2">
      <c r="B37" s="926"/>
      <c r="C37" s="926"/>
      <c r="D37" s="926"/>
      <c r="E37" s="926"/>
      <c r="F37" s="926"/>
      <c r="G37" s="926"/>
      <c r="H37" s="926"/>
      <c r="I37" s="926"/>
      <c r="J37" s="926"/>
      <c r="K37" s="926"/>
      <c r="L37" s="926"/>
      <c r="T37" s="429"/>
    </row>
    <row r="38" spans="2:20" x14ac:dyDescent="0.2">
      <c r="B38" s="926"/>
      <c r="C38" s="926"/>
      <c r="D38" s="926"/>
      <c r="E38" s="926"/>
      <c r="F38" s="926"/>
      <c r="G38" s="926"/>
      <c r="H38" s="926"/>
      <c r="I38" s="926"/>
      <c r="J38" s="926"/>
      <c r="K38" s="926"/>
      <c r="L38" s="926"/>
      <c r="T38" s="429"/>
    </row>
    <row r="39" spans="2:20" x14ac:dyDescent="0.2">
      <c r="B39" s="926"/>
      <c r="C39" s="926"/>
      <c r="D39" s="926"/>
      <c r="E39" s="926"/>
      <c r="F39" s="926"/>
      <c r="G39" s="926"/>
      <c r="H39" s="926"/>
      <c r="I39" s="926"/>
      <c r="J39" s="926"/>
      <c r="K39" s="926"/>
      <c r="L39" s="926"/>
      <c r="T39" s="429"/>
    </row>
    <row r="40" spans="2:20" x14ac:dyDescent="0.2">
      <c r="T40" s="429"/>
    </row>
    <row r="41" spans="2:20" x14ac:dyDescent="0.2">
      <c r="T41" s="429"/>
    </row>
    <row r="42" spans="2:20" x14ac:dyDescent="0.2">
      <c r="T42" s="429"/>
    </row>
    <row r="43" spans="2:20" x14ac:dyDescent="0.2">
      <c r="T43" s="429"/>
    </row>
    <row r="44" spans="2:20" x14ac:dyDescent="0.2">
      <c r="T44" s="429"/>
    </row>
    <row r="45" spans="2:20" x14ac:dyDescent="0.2">
      <c r="T45" s="429"/>
    </row>
    <row r="46" spans="2:20" x14ac:dyDescent="0.2">
      <c r="T46" s="429"/>
    </row>
    <row r="47" spans="2:20" x14ac:dyDescent="0.2">
      <c r="T47" s="429"/>
    </row>
    <row r="48" spans="2:20" x14ac:dyDescent="0.2">
      <c r="T48" s="429"/>
    </row>
    <row r="49" spans="20:20" x14ac:dyDescent="0.2">
      <c r="T49" s="429"/>
    </row>
    <row r="50" spans="20:20" x14ac:dyDescent="0.2">
      <c r="T50" s="429"/>
    </row>
    <row r="51" spans="20:20" x14ac:dyDescent="0.2">
      <c r="T51" s="429"/>
    </row>
    <row r="52" spans="20:20" x14ac:dyDescent="0.2">
      <c r="T52" s="429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40">
        <v>1</v>
      </c>
      <c r="C1" s="440">
        <v>2</v>
      </c>
      <c r="D1" s="440">
        <v>3</v>
      </c>
      <c r="E1" s="440">
        <v>4</v>
      </c>
      <c r="F1" s="440">
        <v>5</v>
      </c>
      <c r="G1" s="440">
        <v>6</v>
      </c>
    </row>
    <row r="2" spans="1:7" x14ac:dyDescent="0.2">
      <c r="A2" s="425" t="s">
        <v>452</v>
      </c>
      <c r="B2" s="440"/>
      <c r="C2" s="440"/>
      <c r="D2" s="440"/>
      <c r="E2" s="440"/>
      <c r="F2" s="440"/>
      <c r="G2" s="440"/>
    </row>
    <row r="3" spans="1:7" x14ac:dyDescent="0.2">
      <c r="A3" s="203" t="s">
        <v>453</v>
      </c>
      <c r="B3" s="441">
        <v>50</v>
      </c>
      <c r="C3" s="441">
        <v>80</v>
      </c>
      <c r="D3" s="441">
        <v>110</v>
      </c>
      <c r="E3" s="441">
        <v>150</v>
      </c>
      <c r="F3" s="441">
        <v>150</v>
      </c>
      <c r="G3" s="441">
        <v>150</v>
      </c>
    </row>
    <row r="4" spans="1:7" x14ac:dyDescent="0.2">
      <c r="A4" s="203" t="s">
        <v>497</v>
      </c>
      <c r="B4" s="442">
        <f>80-(((_Pat_Gewicht/10)*1000)-500)/500*30</f>
        <v>110</v>
      </c>
      <c r="C4" s="442">
        <f>110-(((_Pat_Gewicht/10)*1000)-500)/500*30</f>
        <v>140</v>
      </c>
      <c r="D4" s="442">
        <f>150-(((_Pat_Gewicht/10)*1000)-500)/500*40</f>
        <v>190</v>
      </c>
      <c r="E4" s="442">
        <f>160-(((_Pat_Gewicht/10)*1000)-500)/500*10</f>
        <v>170</v>
      </c>
      <c r="F4" s="442">
        <v>160</v>
      </c>
      <c r="G4" s="442">
        <v>160</v>
      </c>
    </row>
    <row r="5" spans="1:7" x14ac:dyDescent="0.2">
      <c r="A5" s="251" t="s">
        <v>454</v>
      </c>
      <c r="B5" s="441">
        <v>30</v>
      </c>
      <c r="C5" s="441">
        <v>50</v>
      </c>
      <c r="D5" s="441">
        <v>70</v>
      </c>
      <c r="E5" s="441">
        <v>90</v>
      </c>
      <c r="F5" s="441">
        <v>110</v>
      </c>
      <c r="G5" s="441">
        <v>150</v>
      </c>
    </row>
    <row r="6" spans="1:7" x14ac:dyDescent="0.2">
      <c r="A6" s="203"/>
      <c r="B6" s="441"/>
      <c r="C6" s="441"/>
      <c r="D6" s="441"/>
      <c r="E6" s="441"/>
      <c r="F6" s="441"/>
      <c r="G6" s="441"/>
    </row>
    <row r="7" spans="1:7" x14ac:dyDescent="0.2">
      <c r="A7" s="205" t="s">
        <v>455</v>
      </c>
      <c r="B7" s="443"/>
      <c r="C7" s="443"/>
      <c r="D7" s="443"/>
      <c r="E7" s="443"/>
      <c r="F7" s="443"/>
      <c r="G7" s="443"/>
    </row>
    <row r="8" spans="1:7" x14ac:dyDescent="0.2">
      <c r="A8" s="203" t="s">
        <v>456</v>
      </c>
      <c r="B8" s="441"/>
      <c r="C8" s="441"/>
      <c r="D8" s="441"/>
      <c r="E8" s="441">
        <v>35</v>
      </c>
      <c r="F8" s="441">
        <v>35</v>
      </c>
      <c r="G8" s="441">
        <v>35</v>
      </c>
    </row>
    <row r="9" spans="1:7" x14ac:dyDescent="0.2">
      <c r="A9" s="203" t="s">
        <v>32</v>
      </c>
      <c r="B9" s="441"/>
      <c r="C9" s="441" t="s">
        <v>457</v>
      </c>
      <c r="D9" s="441" t="s">
        <v>457</v>
      </c>
      <c r="E9" s="441"/>
      <c r="F9" s="441"/>
      <c r="G9" s="441"/>
    </row>
    <row r="10" spans="1:7" x14ac:dyDescent="0.2">
      <c r="A10" s="203" t="s">
        <v>415</v>
      </c>
      <c r="B10" s="441"/>
      <c r="C10" s="441" t="s">
        <v>458</v>
      </c>
      <c r="D10" s="441" t="s">
        <v>458</v>
      </c>
      <c r="E10" s="441"/>
      <c r="F10" s="441"/>
      <c r="G10" s="441"/>
    </row>
    <row r="11" spans="1:7" ht="15.75" x14ac:dyDescent="0.3">
      <c r="A11" s="203" t="s">
        <v>459</v>
      </c>
      <c r="B11" s="441" t="s">
        <v>457</v>
      </c>
      <c r="C11" s="441" t="s">
        <v>457</v>
      </c>
      <c r="D11" s="441" t="s">
        <v>457</v>
      </c>
      <c r="E11" s="441"/>
      <c r="F11" s="441"/>
      <c r="G11" s="441"/>
    </row>
    <row r="12" spans="1:7" ht="15.75" x14ac:dyDescent="0.3">
      <c r="A12" s="203" t="s">
        <v>460</v>
      </c>
      <c r="B12" s="441">
        <v>0.3</v>
      </c>
      <c r="C12" s="441">
        <v>0.3</v>
      </c>
      <c r="D12" s="441">
        <v>0.3</v>
      </c>
      <c r="E12" s="441"/>
      <c r="F12" s="441"/>
      <c r="G12" s="441"/>
    </row>
    <row r="13" spans="1:7" x14ac:dyDescent="0.2">
      <c r="A13" s="203" t="s">
        <v>163</v>
      </c>
      <c r="B13" s="441"/>
      <c r="C13" s="441">
        <v>1</v>
      </c>
      <c r="D13" s="441">
        <v>1</v>
      </c>
      <c r="E13" s="441"/>
      <c r="F13" s="441"/>
      <c r="G13" s="441"/>
    </row>
    <row r="14" spans="1:7" x14ac:dyDescent="0.2">
      <c r="A14" s="203" t="s">
        <v>461</v>
      </c>
      <c r="B14" s="441"/>
      <c r="C14" s="441">
        <v>7.5</v>
      </c>
      <c r="D14" s="441">
        <v>15</v>
      </c>
      <c r="E14" s="441"/>
      <c r="F14" s="441"/>
      <c r="G14" s="441"/>
    </row>
    <row r="15" spans="1:7" ht="12.75" customHeight="1" x14ac:dyDescent="0.2">
      <c r="A15" s="203" t="s">
        <v>462</v>
      </c>
      <c r="B15" s="441"/>
      <c r="C15" s="441">
        <v>2.5</v>
      </c>
      <c r="D15" s="441">
        <v>5</v>
      </c>
      <c r="E15" s="441">
        <v>7.5</v>
      </c>
      <c r="F15" s="441">
        <v>10</v>
      </c>
      <c r="G15" s="441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3">
        <v>1</v>
      </c>
      <c r="B1" s="423">
        <v>2</v>
      </c>
      <c r="C1" s="423">
        <v>3</v>
      </c>
      <c r="D1" s="423">
        <v>4</v>
      </c>
      <c r="E1" s="423">
        <v>5</v>
      </c>
      <c r="F1" s="423">
        <v>6</v>
      </c>
      <c r="G1" s="423">
        <v>7</v>
      </c>
      <c r="H1" s="423">
        <v>8</v>
      </c>
      <c r="I1" s="423">
        <v>9</v>
      </c>
      <c r="J1" s="423">
        <v>10</v>
      </c>
      <c r="K1" s="423">
        <v>11</v>
      </c>
      <c r="L1" s="423">
        <v>12</v>
      </c>
      <c r="M1" s="423">
        <v>13</v>
      </c>
    </row>
    <row r="2" spans="1:13" x14ac:dyDescent="0.2">
      <c r="B2" s="423" t="s">
        <v>178</v>
      </c>
      <c r="C2" s="423" t="s">
        <v>147</v>
      </c>
      <c r="D2" s="423" t="s">
        <v>179</v>
      </c>
      <c r="E2" s="423" t="s">
        <v>148</v>
      </c>
      <c r="F2" s="423" t="s">
        <v>173</v>
      </c>
      <c r="G2" s="423" t="s">
        <v>174</v>
      </c>
      <c r="H2" s="423" t="s">
        <v>175</v>
      </c>
      <c r="I2" s="423" t="s">
        <v>180</v>
      </c>
      <c r="J2" s="423" t="s">
        <v>176</v>
      </c>
      <c r="K2" s="423" t="s">
        <v>741</v>
      </c>
      <c r="L2" s="423" t="s">
        <v>742</v>
      </c>
      <c r="M2" s="423" t="s">
        <v>466</v>
      </c>
    </row>
    <row r="3" spans="1:13" x14ac:dyDescent="0.2">
      <c r="A3" s="219" t="s">
        <v>4088</v>
      </c>
      <c r="B3" s="423" t="str">
        <f t="shared" ref="B3:M3" si="0">VLOOKUP(B$2,Tbl_Glob_Conversie,3,FALSE)</f>
        <v>kcal</v>
      </c>
      <c r="C3" s="423" t="str">
        <f t="shared" si="0"/>
        <v>gram</v>
      </c>
      <c r="D3" s="423" t="str">
        <f t="shared" si="0"/>
        <v>gram</v>
      </c>
      <c r="E3" s="423" t="str">
        <f t="shared" si="0"/>
        <v>gram</v>
      </c>
      <c r="F3" s="423" t="str">
        <f t="shared" si="0"/>
        <v>mmol</v>
      </c>
      <c r="G3" s="423" t="str">
        <f t="shared" si="0"/>
        <v>mmol</v>
      </c>
      <c r="H3" s="423" t="str">
        <f t="shared" si="0"/>
        <v>mmol</v>
      </c>
      <c r="I3" s="423" t="str">
        <f t="shared" si="0"/>
        <v>mmol</v>
      </c>
      <c r="J3" s="423" t="str">
        <f t="shared" si="0"/>
        <v>mmol</v>
      </c>
      <c r="K3" s="423" t="str">
        <f t="shared" si="0"/>
        <v>mmol</v>
      </c>
      <c r="L3" s="423" t="str">
        <f t="shared" si="0"/>
        <v>IE</v>
      </c>
      <c r="M3" s="423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0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0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7" customFormat="1" ht="25.5" x14ac:dyDescent="0.2">
      <c r="A1" s="437" t="s">
        <v>4274</v>
      </c>
      <c r="C1" s="437" t="s">
        <v>729</v>
      </c>
      <c r="D1" s="437" t="s">
        <v>730</v>
      </c>
    </row>
    <row r="2" spans="1:6" x14ac:dyDescent="0.2">
      <c r="B2" s="777">
        <v>1</v>
      </c>
      <c r="F2" s="321" t="s">
        <v>448</v>
      </c>
    </row>
    <row r="3" spans="1:6" x14ac:dyDescent="0.2">
      <c r="A3" s="321" t="s">
        <v>467</v>
      </c>
      <c r="B3" s="777">
        <f>B2+1</f>
        <v>2</v>
      </c>
      <c r="C3" s="321">
        <v>2.2000000000000002</v>
      </c>
      <c r="D3" s="321">
        <v>0.5</v>
      </c>
      <c r="F3" s="321" t="s">
        <v>872</v>
      </c>
    </row>
    <row r="4" spans="1:6" x14ac:dyDescent="0.2">
      <c r="A4" s="321" t="s">
        <v>470</v>
      </c>
      <c r="B4" s="777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471</v>
      </c>
      <c r="B5" s="777">
        <f t="shared" si="0"/>
        <v>4</v>
      </c>
      <c r="D5" s="321">
        <v>1.5</v>
      </c>
    </row>
    <row r="6" spans="1:6" x14ac:dyDescent="0.2">
      <c r="A6" s="321" t="s">
        <v>473</v>
      </c>
      <c r="B6" s="777">
        <f t="shared" si="0"/>
        <v>5</v>
      </c>
      <c r="D6" s="321">
        <v>2</v>
      </c>
    </row>
    <row r="7" spans="1:6" x14ac:dyDescent="0.2">
      <c r="A7" s="321" t="s">
        <v>474</v>
      </c>
      <c r="B7" s="777">
        <f t="shared" si="0"/>
        <v>6</v>
      </c>
      <c r="D7" s="321">
        <v>2.5</v>
      </c>
    </row>
    <row r="8" spans="1:6" x14ac:dyDescent="0.2">
      <c r="A8" s="321" t="s">
        <v>475</v>
      </c>
      <c r="B8" s="777">
        <f t="shared" si="0"/>
        <v>7</v>
      </c>
      <c r="D8" s="321">
        <v>3</v>
      </c>
    </row>
    <row r="9" spans="1:6" x14ac:dyDescent="0.2">
      <c r="A9" s="321" t="s">
        <v>476</v>
      </c>
      <c r="B9" s="777">
        <f t="shared" si="0"/>
        <v>8</v>
      </c>
      <c r="D9" s="321">
        <v>3.5</v>
      </c>
    </row>
    <row r="10" spans="1:6" x14ac:dyDescent="0.2">
      <c r="A10" s="321" t="s">
        <v>477</v>
      </c>
      <c r="B10" s="777">
        <f t="shared" si="0"/>
        <v>9</v>
      </c>
      <c r="D10" s="321">
        <v>4</v>
      </c>
    </row>
    <row r="11" spans="1:6" x14ac:dyDescent="0.2">
      <c r="A11" s="321" t="s">
        <v>478</v>
      </c>
      <c r="B11" s="777">
        <f t="shared" si="0"/>
        <v>10</v>
      </c>
      <c r="D11" s="321">
        <v>4.5</v>
      </c>
    </row>
    <row r="12" spans="1:6" x14ac:dyDescent="0.2">
      <c r="A12" s="321" t="s">
        <v>479</v>
      </c>
      <c r="B12" s="777">
        <f t="shared" si="0"/>
        <v>11</v>
      </c>
      <c r="D12" s="321">
        <v>5</v>
      </c>
    </row>
    <row r="13" spans="1:6" x14ac:dyDescent="0.2">
      <c r="A13" s="321" t="s">
        <v>239</v>
      </c>
      <c r="B13" s="777">
        <f t="shared" si="0"/>
        <v>12</v>
      </c>
    </row>
    <row r="14" spans="1:6" x14ac:dyDescent="0.2">
      <c r="A14" s="321" t="s">
        <v>480</v>
      </c>
      <c r="B14" s="777">
        <f t="shared" si="0"/>
        <v>13</v>
      </c>
    </row>
    <row r="15" spans="1:6" x14ac:dyDescent="0.2">
      <c r="A15" s="321" t="s">
        <v>47</v>
      </c>
      <c r="B15" s="777">
        <f t="shared" si="0"/>
        <v>14</v>
      </c>
    </row>
    <row r="16" spans="1:6" x14ac:dyDescent="0.2">
      <c r="A16" s="321" t="s">
        <v>265</v>
      </c>
      <c r="B16" s="777">
        <f t="shared" si="0"/>
        <v>15</v>
      </c>
    </row>
    <row r="17" spans="1:2" x14ac:dyDescent="0.2">
      <c r="A17" s="321" t="s">
        <v>598</v>
      </c>
      <c r="B17" s="777">
        <f t="shared" si="0"/>
        <v>16</v>
      </c>
    </row>
    <row r="18" spans="1:2" x14ac:dyDescent="0.2">
      <c r="B18" s="435"/>
    </row>
    <row r="39" spans="2:2" x14ac:dyDescent="0.2">
      <c r="B39" s="436"/>
    </row>
    <row r="52" spans="2:2" x14ac:dyDescent="0.2">
      <c r="B52" s="432"/>
    </row>
    <row r="53" spans="2:2" x14ac:dyDescent="0.2">
      <c r="B53" s="432"/>
    </row>
    <row r="54" spans="2:2" x14ac:dyDescent="0.2">
      <c r="B54" s="432"/>
    </row>
    <row r="55" spans="2:2" x14ac:dyDescent="0.2">
      <c r="B55" s="432"/>
    </row>
    <row r="56" spans="2:2" x14ac:dyDescent="0.2">
      <c r="B56" s="432"/>
    </row>
    <row r="57" spans="2:2" x14ac:dyDescent="0.2">
      <c r="B57" s="432"/>
    </row>
    <row r="65" spans="1:2" x14ac:dyDescent="0.2">
      <c r="B65" s="436"/>
    </row>
    <row r="67" spans="1:2" x14ac:dyDescent="0.2">
      <c r="B67" s="432"/>
    </row>
    <row r="68" spans="1:2" x14ac:dyDescent="0.2">
      <c r="B68" s="432"/>
    </row>
    <row r="69" spans="1:2" x14ac:dyDescent="0.2">
      <c r="B69" s="433"/>
    </row>
    <row r="70" spans="1:2" x14ac:dyDescent="0.2">
      <c r="B70" s="433"/>
    </row>
    <row r="71" spans="1:2" x14ac:dyDescent="0.2">
      <c r="B71" s="433"/>
    </row>
    <row r="72" spans="1:2" x14ac:dyDescent="0.2">
      <c r="B72" s="433"/>
    </row>
    <row r="73" spans="1:2" x14ac:dyDescent="0.2">
      <c r="B73" s="432"/>
    </row>
    <row r="74" spans="1:2" x14ac:dyDescent="0.2">
      <c r="A74" s="434"/>
      <c r="B74" s="432"/>
    </row>
    <row r="75" spans="1:2" x14ac:dyDescent="0.2">
      <c r="A75" s="434"/>
      <c r="B75" s="432"/>
    </row>
    <row r="76" spans="1:2" x14ac:dyDescent="0.2">
      <c r="A76" s="105"/>
      <c r="B76" s="432"/>
    </row>
    <row r="77" spans="1:2" x14ac:dyDescent="0.2">
      <c r="A77" s="434"/>
    </row>
    <row r="78" spans="1:2" x14ac:dyDescent="0.2">
      <c r="A78" s="434"/>
    </row>
    <row r="79" spans="1:2" x14ac:dyDescent="0.2">
      <c r="A79" s="434"/>
    </row>
    <row r="80" spans="1:2" x14ac:dyDescent="0.2">
      <c r="A80" s="434"/>
      <c r="B80" s="432"/>
    </row>
    <row r="81" spans="1:2" x14ac:dyDescent="0.2">
      <c r="A81" s="105"/>
      <c r="B81" s="432"/>
    </row>
    <row r="82" spans="1:2" x14ac:dyDescent="0.2">
      <c r="A82" s="105"/>
      <c r="B82" s="432"/>
    </row>
    <row r="83" spans="1:2" x14ac:dyDescent="0.2">
      <c r="A83" s="434"/>
      <c r="B83" s="433"/>
    </row>
    <row r="84" spans="1:2" x14ac:dyDescent="0.2">
      <c r="A84" s="434"/>
      <c r="B84" s="433"/>
    </row>
    <row r="85" spans="1:2" x14ac:dyDescent="0.2">
      <c r="A85" s="434"/>
      <c r="B85" s="433"/>
    </row>
    <row r="86" spans="1:2" x14ac:dyDescent="0.2">
      <c r="A86" s="434"/>
      <c r="B86" s="432"/>
    </row>
    <row r="87" spans="1:2" x14ac:dyDescent="0.2">
      <c r="A87" s="434"/>
      <c r="B87" s="432"/>
    </row>
    <row r="88" spans="1:2" x14ac:dyDescent="0.2">
      <c r="A88" s="434"/>
      <c r="B88" s="432"/>
    </row>
    <row r="89" spans="1:2" x14ac:dyDescent="0.2">
      <c r="A89" s="434"/>
    </row>
    <row r="90" spans="1:2" x14ac:dyDescent="0.2">
      <c r="A90" s="434"/>
    </row>
    <row r="91" spans="1:2" x14ac:dyDescent="0.2">
      <c r="A91" s="434"/>
    </row>
    <row r="92" spans="1:2" x14ac:dyDescent="0.2">
      <c r="A92" s="434"/>
    </row>
    <row r="93" spans="1:2" x14ac:dyDescent="0.2">
      <c r="A93" s="434"/>
    </row>
    <row r="94" spans="1:2" x14ac:dyDescent="0.2">
      <c r="A94" s="434"/>
    </row>
    <row r="95" spans="1:2" x14ac:dyDescent="0.2">
      <c r="A95" s="434"/>
    </row>
    <row r="96" spans="1:2" x14ac:dyDescent="0.2">
      <c r="A96" s="434"/>
    </row>
    <row r="97" spans="1:1" x14ac:dyDescent="0.2">
      <c r="A97" s="434"/>
    </row>
    <row r="98" spans="1:1" x14ac:dyDescent="0.2">
      <c r="A98" s="434"/>
    </row>
    <row r="99" spans="1:1" x14ac:dyDescent="0.2">
      <c r="A99" s="434"/>
    </row>
    <row r="100" spans="1:1" x14ac:dyDescent="0.2">
      <c r="A100" s="434"/>
    </row>
    <row r="101" spans="1:1" x14ac:dyDescent="0.2">
      <c r="A101" s="434"/>
    </row>
    <row r="102" spans="1:1" x14ac:dyDescent="0.2">
      <c r="A102" s="434"/>
    </row>
    <row r="103" spans="1:1" x14ac:dyDescent="0.2">
      <c r="A103" s="434"/>
    </row>
    <row r="104" spans="1:1" x14ac:dyDescent="0.2">
      <c r="A104" s="434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17" customWidth="1"/>
    <col min="3" max="3" width="25" style="517" customWidth="1"/>
    <col min="4" max="4" width="16.28515625" style="517" customWidth="1"/>
    <col min="5" max="5" width="16.7109375" style="517" customWidth="1"/>
    <col min="6" max="6" width="15" style="517" bestFit="1" customWidth="1"/>
    <col min="7" max="7" width="21.85546875" style="517" bestFit="1" customWidth="1"/>
    <col min="8" max="8" width="21.85546875" style="517" customWidth="1"/>
    <col min="9" max="9" width="7.28515625" style="517" customWidth="1"/>
    <col min="10" max="10" width="27" style="517" customWidth="1"/>
    <col min="11" max="11" width="15.5703125" style="517" customWidth="1"/>
    <col min="12" max="12" width="14.28515625" style="517" customWidth="1"/>
    <col min="13" max="46" width="9.140625" style="517" customWidth="1"/>
    <col min="47" max="16384" width="9.140625" style="517"/>
  </cols>
  <sheetData>
    <row r="1" spans="2:18" s="380" customFormat="1" x14ac:dyDescent="0.2">
      <c r="B1" s="656"/>
      <c r="C1" s="644"/>
      <c r="D1" s="644"/>
      <c r="E1" s="644"/>
      <c r="F1" s="644"/>
      <c r="G1" s="644"/>
      <c r="H1" s="644"/>
      <c r="I1" s="644"/>
      <c r="J1" s="644"/>
      <c r="K1" s="644"/>
      <c r="L1" s="644"/>
    </row>
    <row r="2" spans="2:18" s="380" customFormat="1" ht="17.25" customHeight="1" x14ac:dyDescent="0.2">
      <c r="B2" s="644"/>
      <c r="C2" s="647" t="s">
        <v>235</v>
      </c>
      <c r="D2" s="648" t="str">
        <f ca="1">Txt_Pat_AfspraakDat</f>
        <v>24-sep-2017</v>
      </c>
      <c r="E2" s="649"/>
      <c r="F2" s="647"/>
      <c r="G2" s="651" t="s">
        <v>236</v>
      </c>
      <c r="H2" s="647" t="str">
        <f>Txt_Pat_OpnameDat</f>
        <v/>
      </c>
      <c r="I2" s="647"/>
      <c r="J2" s="647" t="str">
        <f>Txt_Pat_Gewicht</f>
        <v>Gewicht:</v>
      </c>
      <c r="K2" s="647" t="str">
        <f>Txt_Pat_Bed</f>
        <v/>
      </c>
      <c r="L2" s="644"/>
    </row>
    <row r="3" spans="2:18" s="380" customFormat="1" ht="17.25" customHeight="1" x14ac:dyDescent="0.2">
      <c r="B3" s="644"/>
      <c r="C3" s="647" t="s">
        <v>4549</v>
      </c>
      <c r="D3" s="652" t="str">
        <f>Txt_Pat_FullName</f>
        <v/>
      </c>
      <c r="E3" s="652"/>
      <c r="F3" s="647"/>
      <c r="G3" s="651" t="s">
        <v>242</v>
      </c>
      <c r="H3" s="647" t="str">
        <f ca="1">Txt_Pat_GeboorteDat</f>
        <v/>
      </c>
      <c r="I3" s="647"/>
      <c r="J3" s="647" t="str">
        <f>Txt_Pat_Lengte</f>
        <v>Lengte:</v>
      </c>
      <c r="K3" s="647"/>
      <c r="L3" s="644"/>
    </row>
    <row r="4" spans="2:18" s="380" customFormat="1" ht="17.25" customHeight="1" x14ac:dyDescent="0.2">
      <c r="B4" s="644"/>
      <c r="C4" s="647" t="s">
        <v>3493</v>
      </c>
      <c r="D4" s="647" t="str">
        <f>Txt_Pat_PatNo</f>
        <v/>
      </c>
      <c r="E4" s="649"/>
      <c r="F4" s="647"/>
      <c r="G4" s="655" t="s">
        <v>213</v>
      </c>
      <c r="H4" s="647" t="str">
        <f ca="1">Txt_Pat_Leeftijd</f>
        <v/>
      </c>
      <c r="I4" s="644"/>
      <c r="J4" s="647" t="str">
        <f>IF(Txt_Pat_GebGew="","","Geb Gew: "&amp;Txt_Pat_GebGew)</f>
        <v/>
      </c>
      <c r="K4" s="647" t="str">
        <f>IF(Txt_Pat_GestAge="","","Zw. Duur: "&amp;Txt_Pat_GestAge)</f>
        <v/>
      </c>
      <c r="L4" s="644"/>
    </row>
    <row r="6" spans="2:18" x14ac:dyDescent="0.2">
      <c r="B6" s="553"/>
      <c r="C6" s="687" t="s">
        <v>582</v>
      </c>
      <c r="D6" s="687"/>
      <c r="E6" s="687"/>
      <c r="F6" s="687"/>
      <c r="G6" s="687" t="s">
        <v>522</v>
      </c>
      <c r="H6" s="687"/>
      <c r="I6" s="687"/>
      <c r="J6" s="687" t="s">
        <v>589</v>
      </c>
      <c r="K6" s="687"/>
      <c r="L6" s="687"/>
      <c r="R6" s="554"/>
    </row>
    <row r="7" spans="2:18" ht="18" customHeight="1" x14ac:dyDescent="0.2">
      <c r="C7" s="524"/>
      <c r="D7" s="524"/>
      <c r="G7" s="524"/>
      <c r="J7" s="524"/>
      <c r="R7" s="522"/>
    </row>
    <row r="8" spans="2:18" ht="18" customHeight="1" thickBot="1" x14ac:dyDescent="0.25">
      <c r="C8" s="524"/>
      <c r="D8" s="510" t="str">
        <f>IF(_Neo_AfsprD_GewichtFrequentie=0,"",_Neo_AfsprD_GewichtFrequentie)</f>
        <v/>
      </c>
      <c r="E8" s="409"/>
      <c r="G8" s="524"/>
      <c r="H8" s="524"/>
      <c r="J8" s="524"/>
      <c r="K8" s="510" t="str">
        <f>IF(_Neo_AfsprD_AantalLampen=0,"0 lamp(en)",CONCATENATE(_Neo_AfsprD_AantalLampen, " lamp(en)"))</f>
        <v>0 lamp(en)</v>
      </c>
      <c r="R8" s="522"/>
    </row>
    <row r="9" spans="2:18" ht="18" customHeight="1" thickTop="1" thickBot="1" x14ac:dyDescent="0.25">
      <c r="C9" s="524"/>
      <c r="D9" s="508" t="str">
        <f>IF(_Neo_AfsprD_LengteFrequentie=0,"",_Neo_AfsprD_LengteFrequentie)</f>
        <v/>
      </c>
      <c r="E9" s="409"/>
      <c r="H9" s="524"/>
      <c r="J9" s="524"/>
    </row>
    <row r="10" spans="2:18" ht="18" customHeight="1" thickTop="1" thickBot="1" x14ac:dyDescent="0.25">
      <c r="C10" s="524"/>
      <c r="D10" s="509" t="str">
        <f>IF(_Neo_AfsprD_SchedelFrequentie=0,"",_Neo_AfsprD_SchedelFrequentie)</f>
        <v/>
      </c>
      <c r="E10" s="409"/>
      <c r="H10" s="524"/>
      <c r="J10" s="524"/>
    </row>
    <row r="11" spans="2:18" ht="18" customHeight="1" thickTop="1" x14ac:dyDescent="0.2">
      <c r="C11" s="524"/>
      <c r="D11" s="524"/>
      <c r="H11" s="524"/>
      <c r="J11" s="524"/>
    </row>
    <row r="12" spans="2:18" ht="18" customHeight="1" x14ac:dyDescent="0.2">
      <c r="C12" s="524"/>
      <c r="D12" s="507" t="str">
        <f>CONCATENATE(NeoBerAfspr!$B$12," dd")</f>
        <v>0 dd</v>
      </c>
      <c r="E12" s="524"/>
      <c r="G12" s="524"/>
      <c r="J12" s="524"/>
    </row>
    <row r="13" spans="2:18" ht="18" customHeight="1" x14ac:dyDescent="0.2">
      <c r="E13" s="524"/>
      <c r="G13" s="524"/>
      <c r="H13" s="524"/>
      <c r="J13" s="524"/>
    </row>
    <row r="14" spans="2:18" ht="18" customHeight="1" x14ac:dyDescent="0.2">
      <c r="E14" s="524"/>
      <c r="G14" s="524"/>
      <c r="J14" s="524"/>
      <c r="N14" s="522"/>
    </row>
    <row r="15" spans="2:18" ht="18" customHeight="1" x14ac:dyDescent="0.2">
      <c r="E15" s="524"/>
      <c r="G15" s="524"/>
      <c r="H15" s="524"/>
      <c r="J15" s="524"/>
      <c r="N15" s="522"/>
    </row>
    <row r="16" spans="2:18" ht="18" customHeight="1" x14ac:dyDescent="0.2">
      <c r="C16" s="524"/>
      <c r="H16" s="524"/>
      <c r="J16" s="524"/>
    </row>
    <row r="17" spans="3:15" ht="18" customHeight="1" x14ac:dyDescent="0.2">
      <c r="C17" s="524"/>
      <c r="G17" s="524"/>
      <c r="J17" s="524"/>
      <c r="K17" s="507" t="str">
        <f>CONCATENATE(NeoBerAfspr!$K$17," dd")</f>
        <v>0 dd</v>
      </c>
      <c r="L17" s="507" t="str">
        <f>CONCATENATE(NeoBerAfspr!$L$17," ml")</f>
        <v>0 ml</v>
      </c>
      <c r="N17" s="522"/>
    </row>
    <row r="18" spans="3:15" ht="18" customHeight="1" x14ac:dyDescent="0.2">
      <c r="C18" s="524"/>
      <c r="G18" s="524"/>
      <c r="H18" s="524"/>
      <c r="J18" s="524"/>
      <c r="N18" s="522"/>
    </row>
    <row r="19" spans="3:15" ht="18" customHeight="1" x14ac:dyDescent="0.2">
      <c r="C19" s="524"/>
      <c r="H19" s="524"/>
      <c r="J19" s="524"/>
      <c r="K19" s="524" t="str">
        <f>CONCATENATE("à ",_Neo_AfsprD_VerliezenFrequentie," uur")</f>
        <v>à 0 uur</v>
      </c>
      <c r="N19" s="522"/>
      <c r="O19" s="522"/>
    </row>
    <row r="20" spans="3:15" ht="18" customHeight="1" x14ac:dyDescent="0.2">
      <c r="H20" s="524"/>
      <c r="K20" s="524"/>
      <c r="N20" s="522"/>
    </row>
    <row r="21" spans="3:15" ht="18" customHeight="1" x14ac:dyDescent="0.2">
      <c r="C21" s="687" t="s">
        <v>588</v>
      </c>
      <c r="D21" s="687"/>
      <c r="E21" s="687"/>
      <c r="F21" s="687"/>
      <c r="G21" s="524"/>
      <c r="K21" s="524"/>
      <c r="O21" s="522"/>
    </row>
    <row r="22" spans="3:15" ht="18" customHeight="1" x14ac:dyDescent="0.2">
      <c r="C22" s="524"/>
      <c r="G22" s="524"/>
      <c r="H22" s="524"/>
      <c r="K22" s="524"/>
      <c r="N22" s="522"/>
      <c r="O22" s="522"/>
    </row>
    <row r="23" spans="3:15" ht="18" customHeight="1" x14ac:dyDescent="0.2">
      <c r="C23" s="524"/>
      <c r="G23" s="524"/>
      <c r="H23" s="524"/>
      <c r="J23" s="524"/>
      <c r="K23" s="524"/>
    </row>
    <row r="24" spans="3:15" ht="18" customHeight="1" x14ac:dyDescent="0.2">
      <c r="C24" s="524"/>
      <c r="H24" s="524"/>
      <c r="K24" s="524"/>
      <c r="N24" s="522"/>
      <c r="O24" s="522"/>
    </row>
    <row r="25" spans="3:15" ht="18" customHeight="1" x14ac:dyDescent="0.2">
      <c r="C25" s="524"/>
      <c r="H25" s="524"/>
      <c r="K25" s="524"/>
      <c r="N25" s="522"/>
      <c r="O25" s="522"/>
    </row>
    <row r="26" spans="3:15" ht="18" customHeight="1" x14ac:dyDescent="0.2">
      <c r="C26" s="524"/>
      <c r="H26" s="524"/>
      <c r="K26" s="524"/>
      <c r="N26" s="554"/>
      <c r="O26" s="522"/>
    </row>
    <row r="27" spans="3:15" ht="18" customHeight="1" x14ac:dyDescent="0.2">
      <c r="C27" s="524"/>
      <c r="D27" s="675" t="s">
        <v>595</v>
      </c>
      <c r="E27" s="507" t="str">
        <f>CONCATENATE(NeoBerAfspr!C27," uur")</f>
        <v>12:00 uur</v>
      </c>
      <c r="H27" s="524"/>
      <c r="K27" s="524"/>
      <c r="N27" s="522"/>
      <c r="O27" s="522"/>
    </row>
    <row r="28" spans="3:15" ht="18" customHeight="1" x14ac:dyDescent="0.2">
      <c r="C28" s="524"/>
      <c r="H28" s="524"/>
      <c r="N28" s="522"/>
    </row>
    <row r="29" spans="3:15" ht="18" customHeight="1" x14ac:dyDescent="0.2">
      <c r="C29" s="524"/>
      <c r="H29" s="524"/>
      <c r="N29" s="522"/>
    </row>
    <row r="30" spans="3:15" ht="18" customHeight="1" x14ac:dyDescent="0.2">
      <c r="C30" s="524"/>
      <c r="H30" s="524"/>
    </row>
    <row r="31" spans="3:15" ht="18" customHeight="1" x14ac:dyDescent="0.2">
      <c r="C31" s="524"/>
      <c r="G31" s="524"/>
      <c r="H31" s="831" t="e">
        <f>IF(_Neo_AfsprD_WondkweekTekst=0,"",_Neo_AfsprD_WondkweekTekst)</f>
        <v>#NAME?</v>
      </c>
      <c r="I31" s="927"/>
    </row>
    <row r="32" spans="3:15" ht="18" customHeight="1" x14ac:dyDescent="0.2">
      <c r="C32" s="524"/>
      <c r="H32" s="927"/>
      <c r="I32" s="927"/>
    </row>
    <row r="33" spans="3:14" ht="18" customHeight="1" x14ac:dyDescent="0.2">
      <c r="H33" s="927"/>
      <c r="I33" s="927"/>
    </row>
    <row r="34" spans="3:14" ht="18" customHeight="1" x14ac:dyDescent="0.2">
      <c r="C34" s="687" t="s">
        <v>782</v>
      </c>
      <c r="D34" s="687"/>
      <c r="E34" s="687"/>
      <c r="F34" s="687"/>
    </row>
    <row r="35" spans="3:14" ht="18" customHeight="1" x14ac:dyDescent="0.2">
      <c r="C35" s="524"/>
      <c r="N35" s="522"/>
    </row>
    <row r="36" spans="3:14" ht="18" customHeight="1" x14ac:dyDescent="0.2">
      <c r="C36" s="524"/>
      <c r="N36" s="522"/>
    </row>
    <row r="37" spans="3:14" ht="18" customHeight="1" x14ac:dyDescent="0.2">
      <c r="C37" s="524"/>
      <c r="N37" s="522"/>
    </row>
    <row r="38" spans="3:14" ht="18" customHeight="1" x14ac:dyDescent="0.2">
      <c r="C38" s="524"/>
      <c r="D38" s="524"/>
      <c r="N38" s="522"/>
    </row>
    <row r="39" spans="3:14" ht="18" customHeight="1" x14ac:dyDescent="0.2">
      <c r="C39" s="524"/>
      <c r="D39" s="524"/>
      <c r="N39" s="522"/>
    </row>
    <row r="40" spans="3:14" ht="18" customHeight="1" x14ac:dyDescent="0.2">
      <c r="C40" s="524"/>
      <c r="D40" s="524"/>
      <c r="N40" s="522"/>
    </row>
    <row r="41" spans="3:14" ht="18" customHeight="1" x14ac:dyDescent="0.2">
      <c r="C41" s="524"/>
      <c r="D41" s="522"/>
      <c r="E41" s="638">
        <f>NeoBerAfspr!D47</f>
        <v>0</v>
      </c>
      <c r="F41" s="675" t="s">
        <v>784</v>
      </c>
      <c r="G41" s="675"/>
      <c r="N41" s="522"/>
    </row>
    <row r="42" spans="3:14" ht="18" customHeight="1" x14ac:dyDescent="0.2">
      <c r="C42" s="522"/>
      <c r="N42" s="522"/>
    </row>
    <row r="43" spans="3:14" ht="18" customHeight="1" x14ac:dyDescent="0.2">
      <c r="C43" s="522"/>
      <c r="N43" s="522"/>
    </row>
    <row r="44" spans="3:14" ht="18" customHeight="1" x14ac:dyDescent="0.2">
      <c r="C44" s="707" t="s">
        <v>555</v>
      </c>
      <c r="D44" s="707"/>
      <c r="E44" s="707"/>
      <c r="F44" s="707"/>
      <c r="G44" s="707"/>
      <c r="H44" s="707"/>
      <c r="I44" s="707"/>
      <c r="J44" s="707"/>
      <c r="K44" s="707"/>
      <c r="N44" s="522"/>
    </row>
    <row r="45" spans="3:14" ht="18" customHeight="1" x14ac:dyDescent="0.2">
      <c r="C45" s="793" t="s">
        <v>582</v>
      </c>
      <c r="D45" s="707" t="str">
        <f>IFERROR(LEFT(Var_Neo_AfsprControles,LEN(Var_Neo_AfsprControles)-3),"")</f>
        <v/>
      </c>
      <c r="E45" s="707"/>
      <c r="F45" s="707"/>
      <c r="G45" s="707"/>
      <c r="H45" s="707"/>
      <c r="I45" s="707"/>
      <c r="J45" s="707"/>
      <c r="K45" s="707"/>
      <c r="N45" s="522"/>
    </row>
    <row r="46" spans="3:14" ht="18" customHeight="1" x14ac:dyDescent="0.2">
      <c r="C46" s="793" t="s">
        <v>588</v>
      </c>
      <c r="D46" s="707" t="str">
        <f>IFERROR(LEFT(Var_Neo_AfsprOnderzoek,LEN(Var_Neo_AfsprOnderzoek)-3),"")</f>
        <v/>
      </c>
      <c r="E46" s="707"/>
      <c r="F46" s="707"/>
      <c r="G46" s="707"/>
      <c r="H46" s="707"/>
      <c r="I46" s="707"/>
      <c r="J46" s="707"/>
      <c r="K46" s="707"/>
      <c r="N46" s="522"/>
    </row>
    <row r="47" spans="3:14" ht="18" customHeight="1" x14ac:dyDescent="0.2">
      <c r="C47" s="793" t="s">
        <v>782</v>
      </c>
      <c r="D47" s="707" t="str">
        <f>IFERROR(LEFT(Var_Neo_AfsprInstellingen,LEN(Var_Neo_AfsprInstellingen)-3),"")</f>
        <v/>
      </c>
      <c r="E47" s="707"/>
      <c r="F47" s="707"/>
      <c r="G47" s="707"/>
      <c r="H47" s="707"/>
      <c r="I47" s="707"/>
      <c r="J47" s="707"/>
      <c r="K47" s="707"/>
      <c r="N47" s="522"/>
    </row>
    <row r="48" spans="3:14" ht="18" customHeight="1" x14ac:dyDescent="0.2">
      <c r="C48" s="793" t="s">
        <v>522</v>
      </c>
      <c r="D48" s="707" t="str">
        <f>IFERROR(LEFT(Var_Neo_AfsprKweken,LEN(Var_Neo_AfsprKweken)-3),"")</f>
        <v/>
      </c>
      <c r="E48" s="707"/>
      <c r="F48" s="707"/>
      <c r="G48" s="707"/>
      <c r="H48" s="707"/>
      <c r="I48" s="707"/>
      <c r="J48" s="707"/>
      <c r="K48" s="707"/>
      <c r="N48" s="522"/>
    </row>
    <row r="49" spans="3:14" ht="18" customHeight="1" x14ac:dyDescent="0.2">
      <c r="C49" s="793" t="s">
        <v>568</v>
      </c>
      <c r="D49" s="707" t="str">
        <f>IFERROR(LEFT(Var_Neo_AfsprOverig,LEN(Var_Neo_AfsprOverig)-3),"")</f>
        <v/>
      </c>
      <c r="E49" s="707"/>
      <c r="F49" s="707"/>
      <c r="G49" s="707"/>
      <c r="H49" s="707"/>
      <c r="I49" s="707"/>
      <c r="J49" s="707"/>
      <c r="K49" s="707"/>
      <c r="N49" s="522"/>
    </row>
    <row r="50" spans="3:14" ht="18" customHeight="1" x14ac:dyDescent="0.2"/>
    <row r="51" spans="3:14" ht="18" customHeight="1" x14ac:dyDescent="0.2">
      <c r="N51" s="522"/>
    </row>
    <row r="52" spans="3:14" ht="18" customHeight="1" x14ac:dyDescent="0.2">
      <c r="N52" s="522"/>
    </row>
    <row r="53" spans="3:14" ht="18" customHeight="1" x14ac:dyDescent="0.2">
      <c r="N53" s="522"/>
    </row>
    <row r="54" spans="3:14" ht="18" customHeight="1" x14ac:dyDescent="0.2">
      <c r="N54" s="522"/>
    </row>
    <row r="55" spans="3:14" ht="18" customHeight="1" x14ac:dyDescent="0.2">
      <c r="N55" s="522"/>
    </row>
    <row r="56" spans="3:14" ht="18" customHeight="1" x14ac:dyDescent="0.2"/>
    <row r="57" spans="3:14" ht="18" customHeight="1" x14ac:dyDescent="0.2"/>
    <row r="58" spans="3:14" ht="18" customHeight="1" x14ac:dyDescent="0.2">
      <c r="N58" s="379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4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5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42" customWidth="1"/>
    <col min="2" max="13" width="10.7109375" style="642" customWidth="1"/>
    <col min="14" max="14" width="2.140625" style="642" customWidth="1"/>
    <col min="15" max="20" width="10.7109375" style="642" customWidth="1"/>
    <col min="21" max="16384" width="9.140625" style="642"/>
  </cols>
  <sheetData>
    <row r="1" spans="1:81" s="490" customFormat="1" ht="7.5" customHeight="1" x14ac:dyDescent="0.2">
      <c r="A1" s="356"/>
      <c r="B1" s="645"/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5"/>
      <c r="S1" s="645"/>
      <c r="T1" s="645"/>
      <c r="U1" s="357"/>
      <c r="V1" s="357"/>
      <c r="W1" s="357"/>
      <c r="X1" s="357"/>
    </row>
    <row r="2" spans="1:81" s="490" customFormat="1" ht="17.25" customHeight="1" x14ac:dyDescent="0.2">
      <c r="A2" s="357"/>
      <c r="B2" s="645"/>
      <c r="C2" s="647" t="s">
        <v>235</v>
      </c>
      <c r="D2" s="648" t="str">
        <f ca="1">Txt_Pat_AfspraakDat</f>
        <v>24-sep-2017</v>
      </c>
      <c r="E2" s="649"/>
      <c r="F2" s="647"/>
      <c r="G2" s="645"/>
      <c r="H2" s="651" t="s">
        <v>236</v>
      </c>
      <c r="I2" s="647"/>
      <c r="J2" s="647" t="str">
        <f>Txt_Pat_OpnameDat</f>
        <v/>
      </c>
      <c r="K2" s="645"/>
      <c r="L2" s="645"/>
      <c r="M2" s="645" t="str">
        <f>Txt_Pat_Gewicht</f>
        <v>Gewicht:</v>
      </c>
      <c r="N2" s="645"/>
      <c r="O2" s="645"/>
      <c r="P2" s="645" t="s">
        <v>4550</v>
      </c>
      <c r="Q2" s="645" t="str">
        <f>Txt_Pat_GebGew</f>
        <v/>
      </c>
      <c r="R2" s="645"/>
      <c r="S2" s="645" t="str">
        <f>Txt_Pat_Bed</f>
        <v/>
      </c>
      <c r="T2" s="645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5"/>
      <c r="H3" s="651" t="s">
        <v>242</v>
      </c>
      <c r="I3" s="645"/>
      <c r="J3" s="647" t="str">
        <f ca="1">Txt_Pat_GeboorteDat</f>
        <v/>
      </c>
      <c r="K3" s="647"/>
      <c r="L3" s="645"/>
      <c r="M3" s="645" t="str">
        <f>Txt_Pat_Lengte</f>
        <v>Lengte:</v>
      </c>
      <c r="N3" s="645"/>
      <c r="O3" s="645"/>
      <c r="P3" s="645" t="s">
        <v>4551</v>
      </c>
      <c r="Q3" s="645" t="str">
        <f>Txt_Pat_GestAge</f>
        <v/>
      </c>
      <c r="R3" s="645"/>
      <c r="S3" s="645"/>
      <c r="T3" s="645"/>
      <c r="U3" s="357"/>
      <c r="V3" s="357"/>
      <c r="W3" s="357"/>
      <c r="X3" s="357"/>
    </row>
    <row r="4" spans="1:81" s="490" customFormat="1" ht="17.25" customHeight="1" x14ac:dyDescent="0.2">
      <c r="A4" s="357"/>
      <c r="B4" s="645"/>
      <c r="C4" s="647" t="s">
        <v>3493</v>
      </c>
      <c r="D4" s="647" t="str">
        <f>Txt_Pat_PatNo</f>
        <v/>
      </c>
      <c r="E4" s="649"/>
      <c r="F4" s="647"/>
      <c r="G4" s="645"/>
      <c r="H4" s="655" t="s">
        <v>213</v>
      </c>
      <c r="I4" s="647"/>
      <c r="J4" s="647" t="str">
        <f ca="1">Txt_Pat_Leeftijd</f>
        <v/>
      </c>
      <c r="K4" s="647"/>
      <c r="L4" s="645"/>
      <c r="M4" s="645"/>
      <c r="N4" s="645"/>
      <c r="O4" s="645"/>
      <c r="P4" s="645"/>
      <c r="Q4" s="645"/>
      <c r="R4" s="645"/>
      <c r="S4" s="645"/>
      <c r="T4" s="645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x14ac:dyDescent="0.2">
      <c r="B5" s="541"/>
    </row>
    <row r="6" spans="1:81" ht="20.100000000000001" customHeight="1" x14ac:dyDescent="0.2">
      <c r="A6" s="399"/>
      <c r="B6" s="700" t="s">
        <v>110</v>
      </c>
      <c r="C6" s="701"/>
      <c r="D6" s="701" t="s">
        <v>572</v>
      </c>
      <c r="E6" s="701"/>
      <c r="F6" s="701"/>
      <c r="G6" s="700"/>
      <c r="H6" s="702"/>
      <c r="I6" s="700"/>
      <c r="J6" s="700"/>
      <c r="K6" s="700"/>
      <c r="L6" s="700"/>
      <c r="M6" s="700"/>
      <c r="N6" s="700"/>
      <c r="O6" s="700"/>
      <c r="P6" s="700"/>
      <c r="Q6" s="700"/>
      <c r="R6" s="700"/>
      <c r="S6" s="700"/>
      <c r="T6" s="700"/>
    </row>
    <row r="7" spans="1:81" x14ac:dyDescent="0.2">
      <c r="B7" s="541"/>
    </row>
    <row r="8" spans="1:81" ht="20.100000000000001" customHeight="1" x14ac:dyDescent="0.2">
      <c r="B8" s="682" t="s">
        <v>570</v>
      </c>
      <c r="C8" s="682"/>
      <c r="D8" s="682" t="s">
        <v>573</v>
      </c>
      <c r="E8" s="682"/>
      <c r="F8" s="682" t="s">
        <v>574</v>
      </c>
      <c r="G8" s="682"/>
      <c r="H8" s="682" t="s">
        <v>575</v>
      </c>
      <c r="I8" s="682"/>
      <c r="J8" s="682" t="s">
        <v>111</v>
      </c>
      <c r="K8" s="682"/>
      <c r="L8" s="682" t="s">
        <v>576</v>
      </c>
      <c r="M8" s="682"/>
      <c r="N8" s="682"/>
      <c r="O8" s="682" t="s">
        <v>868</v>
      </c>
      <c r="P8" s="682" t="s">
        <v>580</v>
      </c>
      <c r="Q8" s="682" t="s">
        <v>867</v>
      </c>
      <c r="R8" s="682" t="s">
        <v>580</v>
      </c>
      <c r="S8" s="682" t="s">
        <v>869</v>
      </c>
      <c r="T8" s="682" t="s">
        <v>580</v>
      </c>
    </row>
    <row r="9" spans="1:81" ht="26.25" customHeight="1" x14ac:dyDescent="0.2">
      <c r="B9" s="412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00"/>
      <c r="O9" s="412"/>
      <c r="P9" s="412"/>
      <c r="Q9" s="412"/>
      <c r="R9" s="412"/>
      <c r="S9" s="412"/>
      <c r="T9" s="412"/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00"/>
      <c r="O10" s="412"/>
      <c r="P10" s="412"/>
      <c r="Q10" s="412"/>
      <c r="R10" s="412"/>
      <c r="S10" s="412"/>
      <c r="T10" s="412"/>
    </row>
    <row r="11" spans="1:81" ht="26.25" customHeight="1" x14ac:dyDescent="0.2">
      <c r="A11" s="399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00"/>
      <c r="O11" s="412"/>
      <c r="P11" s="412"/>
      <c r="Q11" s="412"/>
      <c r="R11" s="412"/>
      <c r="S11" s="412"/>
      <c r="T11" s="412"/>
    </row>
    <row r="12" spans="1:81" ht="26.25" customHeight="1" x14ac:dyDescent="0.2"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00"/>
      <c r="O12" s="412"/>
      <c r="P12" s="412"/>
      <c r="Q12" s="412"/>
      <c r="R12" s="412"/>
      <c r="S12" s="412"/>
      <c r="T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12"/>
      <c r="K13" s="412"/>
      <c r="L13" s="412"/>
      <c r="M13" s="412"/>
      <c r="N13" s="400"/>
      <c r="O13" s="412"/>
      <c r="P13" s="412"/>
      <c r="Q13" s="412"/>
      <c r="R13" s="412"/>
      <c r="S13" s="412"/>
      <c r="T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00"/>
      <c r="O14" s="412"/>
      <c r="P14" s="412"/>
      <c r="Q14" s="412"/>
      <c r="R14" s="412"/>
      <c r="S14" s="412"/>
      <c r="T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00"/>
      <c r="O15" s="412"/>
      <c r="P15" s="412"/>
      <c r="Q15" s="412"/>
      <c r="R15" s="412"/>
      <c r="S15" s="412"/>
      <c r="T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00"/>
      <c r="O16" s="412"/>
      <c r="P16" s="412"/>
      <c r="Q16" s="412"/>
      <c r="R16" s="412"/>
      <c r="S16" s="412"/>
      <c r="T16" s="412"/>
    </row>
    <row r="17" spans="2:20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00"/>
      <c r="O17" s="412"/>
      <c r="P17" s="412"/>
      <c r="Q17" s="412"/>
      <c r="R17" s="412"/>
      <c r="S17" s="412"/>
      <c r="T17" s="412"/>
    </row>
    <row r="18" spans="2:20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00"/>
      <c r="O18" s="412"/>
      <c r="P18" s="412"/>
      <c r="Q18" s="412"/>
      <c r="R18" s="412"/>
      <c r="S18" s="412"/>
      <c r="T18" s="412"/>
    </row>
    <row r="19" spans="2:20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12"/>
      <c r="K19" s="412"/>
      <c r="L19" s="412"/>
      <c r="M19" s="412"/>
      <c r="N19" s="400"/>
      <c r="O19" s="412"/>
      <c r="P19" s="412"/>
      <c r="Q19" s="412"/>
      <c r="R19" s="412"/>
      <c r="S19" s="412"/>
      <c r="T19" s="412"/>
    </row>
    <row r="20" spans="2:20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00"/>
      <c r="O20" s="412"/>
      <c r="P20" s="412"/>
      <c r="Q20" s="412"/>
      <c r="R20" s="412"/>
      <c r="S20" s="412"/>
      <c r="T20" s="412"/>
    </row>
    <row r="21" spans="2:20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00"/>
      <c r="O21" s="412"/>
      <c r="P21" s="412"/>
      <c r="Q21" s="412"/>
      <c r="R21" s="412"/>
      <c r="S21" s="412"/>
      <c r="T21" s="412"/>
    </row>
    <row r="22" spans="2:20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00"/>
      <c r="O22" s="412"/>
      <c r="P22" s="412"/>
      <c r="Q22" s="412"/>
      <c r="R22" s="412"/>
      <c r="S22" s="412"/>
      <c r="T22" s="412"/>
    </row>
    <row r="23" spans="2:20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12"/>
      <c r="K23" s="412"/>
      <c r="L23" s="412"/>
      <c r="M23" s="412"/>
      <c r="N23" s="400"/>
      <c r="O23" s="412"/>
      <c r="P23" s="412"/>
      <c r="Q23" s="412"/>
      <c r="R23" s="412"/>
      <c r="S23" s="412"/>
      <c r="T23" s="412"/>
    </row>
    <row r="24" spans="2:20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00"/>
      <c r="O24" s="412"/>
      <c r="P24" s="412"/>
      <c r="Q24" s="412"/>
      <c r="R24" s="412"/>
      <c r="S24" s="412"/>
      <c r="T24" s="412"/>
    </row>
    <row r="25" spans="2:20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00"/>
      <c r="O25" s="412"/>
      <c r="P25" s="412"/>
      <c r="Q25" s="412"/>
      <c r="R25" s="412"/>
      <c r="S25" s="412"/>
      <c r="T25" s="412"/>
    </row>
    <row r="26" spans="2:20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00"/>
      <c r="O26" s="412"/>
      <c r="P26" s="412"/>
      <c r="Q26" s="412"/>
      <c r="R26" s="412"/>
      <c r="S26" s="412"/>
      <c r="T26" s="412"/>
    </row>
    <row r="27" spans="2:20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00"/>
      <c r="O27" s="412"/>
      <c r="P27" s="412"/>
      <c r="Q27" s="412"/>
      <c r="R27" s="412"/>
      <c r="S27" s="412"/>
      <c r="T27" s="412"/>
    </row>
    <row r="28" spans="2:20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00"/>
      <c r="O28" s="412"/>
      <c r="P28" s="412"/>
      <c r="Q28" s="412"/>
      <c r="R28" s="412"/>
      <c r="S28" s="412"/>
      <c r="T28" s="412"/>
    </row>
    <row r="29" spans="2:20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00"/>
      <c r="O29" s="412"/>
      <c r="P29" s="412"/>
      <c r="Q29" s="412"/>
      <c r="R29" s="412"/>
      <c r="S29" s="412"/>
      <c r="T29" s="412"/>
    </row>
    <row r="30" spans="2:20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00"/>
      <c r="O30" s="412"/>
      <c r="P30" s="412"/>
      <c r="Q30" s="412"/>
      <c r="R30" s="412"/>
      <c r="S30" s="412"/>
      <c r="T30" s="412"/>
    </row>
    <row r="31" spans="2:20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00"/>
      <c r="O31" s="412"/>
      <c r="P31" s="412"/>
      <c r="Q31" s="412"/>
      <c r="R31" s="412"/>
      <c r="S31" s="412"/>
      <c r="T31" s="412"/>
    </row>
    <row r="32" spans="2:20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00"/>
      <c r="O32" s="412"/>
      <c r="P32" s="412"/>
      <c r="Q32" s="412"/>
      <c r="R32" s="412"/>
      <c r="S32" s="412"/>
      <c r="T32" s="412"/>
    </row>
    <row r="33" spans="2:20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00"/>
      <c r="O33" s="412"/>
      <c r="P33" s="412"/>
      <c r="Q33" s="412"/>
      <c r="R33" s="412"/>
      <c r="S33" s="412"/>
      <c r="T33" s="412"/>
    </row>
    <row r="34" spans="2:20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00"/>
      <c r="O34" s="412"/>
      <c r="P34" s="412"/>
      <c r="Q34" s="412"/>
      <c r="R34" s="412"/>
      <c r="S34" s="412"/>
      <c r="T34" s="412"/>
    </row>
    <row r="35" spans="2:20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00"/>
      <c r="O35" s="412"/>
      <c r="P35" s="412"/>
      <c r="Q35" s="412"/>
      <c r="R35" s="412"/>
      <c r="S35" s="412"/>
      <c r="T35" s="412"/>
    </row>
    <row r="36" spans="2:20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00"/>
      <c r="O36" s="412"/>
      <c r="P36" s="412"/>
      <c r="Q36" s="412"/>
      <c r="R36" s="412"/>
      <c r="S36" s="412"/>
      <c r="T36" s="412"/>
    </row>
    <row r="37" spans="2:20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00"/>
      <c r="O37" s="412"/>
      <c r="P37" s="412"/>
      <c r="Q37" s="412"/>
      <c r="R37" s="412"/>
      <c r="S37" s="412"/>
      <c r="T37" s="412"/>
    </row>
    <row r="38" spans="2:20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00"/>
      <c r="O38" s="412"/>
      <c r="P38" s="412"/>
      <c r="Q38" s="412"/>
      <c r="R38" s="412"/>
      <c r="S38" s="412"/>
      <c r="T38" s="412"/>
    </row>
    <row r="39" spans="2:20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00"/>
      <c r="O39" s="412"/>
      <c r="P39" s="412"/>
      <c r="Q39" s="412"/>
      <c r="R39" s="412"/>
      <c r="S39" s="412"/>
      <c r="T39" s="412"/>
    </row>
    <row r="40" spans="2:20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00"/>
      <c r="O40" s="412"/>
      <c r="P40" s="412"/>
      <c r="Q40" s="412"/>
      <c r="R40" s="412"/>
      <c r="S40" s="412"/>
      <c r="T40" s="412"/>
    </row>
    <row r="41" spans="2:20" ht="20.100000000000001" customHeight="1" x14ac:dyDescent="0.2">
      <c r="B41" s="682" t="s">
        <v>184</v>
      </c>
      <c r="C41" s="928" t="str">
        <f>IF(_Neo_Lab_Opm=0,"",_Neo_Lab_Opm)</f>
        <v/>
      </c>
      <c r="D41" s="929"/>
      <c r="E41" s="929"/>
      <c r="F41" s="929"/>
      <c r="G41" s="929"/>
      <c r="H41" s="929"/>
      <c r="I41" s="929"/>
      <c r="J41" s="929"/>
      <c r="K41" s="929"/>
      <c r="L41" s="929"/>
      <c r="M41" s="929"/>
      <c r="N41" s="929"/>
      <c r="O41" s="929"/>
      <c r="P41" s="929"/>
      <c r="Q41" s="929"/>
      <c r="R41" s="929"/>
      <c r="S41" s="929"/>
      <c r="T41" s="929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J4" s="109" t="str">
        <f>IF(K4,"A","")</f>
        <v/>
      </c>
      <c r="K4" s="343" t="b">
        <v>0</v>
      </c>
      <c r="L4" s="109" t="str">
        <f>IF(M4,"A","")</f>
        <v/>
      </c>
      <c r="M4" s="343" t="b">
        <v>0</v>
      </c>
      <c r="N4" s="109" t="str">
        <f>IF(O4,"A","")</f>
        <v/>
      </c>
      <c r="O4" s="343" t="b">
        <v>0</v>
      </c>
      <c r="P4" s="109" t="str">
        <f>IF(Q4,"A","")</f>
        <v/>
      </c>
      <c r="Q4" s="343" t="b">
        <v>0</v>
      </c>
      <c r="R4" s="109" t="str">
        <f>IF(S4,"A","")</f>
        <v/>
      </c>
      <c r="S4" s="343" t="b">
        <v>0</v>
      </c>
      <c r="U4" s="159"/>
    </row>
    <row r="5" spans="1:21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J5" s="109" t="str">
        <f>IF(K5,"Na K","")</f>
        <v/>
      </c>
      <c r="K5" s="343" t="b">
        <v>0</v>
      </c>
      <c r="L5" s="109" t="str">
        <f>IF(M5,"Na K","")</f>
        <v/>
      </c>
      <c r="M5" s="343" t="b">
        <v>0</v>
      </c>
      <c r="N5" s="109" t="str">
        <f>IF(O5,"Na K","")</f>
        <v/>
      </c>
      <c r="O5" s="343" t="b">
        <v>0</v>
      </c>
      <c r="P5" s="109" t="str">
        <f>IF(Q5,"Na K","")</f>
        <v/>
      </c>
      <c r="Q5" s="343" t="b">
        <v>0</v>
      </c>
      <c r="R5" s="109" t="str">
        <f>IF(S5,"Na K","")</f>
        <v/>
      </c>
      <c r="S5" s="343" t="b">
        <v>0</v>
      </c>
      <c r="U5" s="159"/>
    </row>
    <row r="6" spans="1:21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J6" s="109" t="str">
        <f>IF(K6,"Cl","")</f>
        <v/>
      </c>
      <c r="K6" s="343" t="b">
        <v>0</v>
      </c>
      <c r="L6" s="109" t="str">
        <f>IF(M6,"Cl","")</f>
        <v/>
      </c>
      <c r="M6" s="343" t="b">
        <v>0</v>
      </c>
      <c r="N6" s="109" t="str">
        <f>IF(O6,"Cl","")</f>
        <v/>
      </c>
      <c r="O6" s="343" t="b">
        <v>0</v>
      </c>
      <c r="P6" s="109" t="str">
        <f>IF(Q6,"Cl","")</f>
        <v/>
      </c>
      <c r="Q6" s="343" t="b">
        <v>0</v>
      </c>
      <c r="R6" s="109" t="str">
        <f>IF(S6,"Cl","")</f>
        <v/>
      </c>
      <c r="S6" s="343" t="b">
        <v>0</v>
      </c>
      <c r="U6" s="159"/>
    </row>
    <row r="7" spans="1:21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J7" s="109" t="str">
        <f>IF(K7,"Gluc","")</f>
        <v/>
      </c>
      <c r="K7" s="343" t="b">
        <v>0</v>
      </c>
      <c r="L7" s="109" t="str">
        <f>IF(M7,"Gluc","")</f>
        <v/>
      </c>
      <c r="M7" s="343" t="b">
        <v>0</v>
      </c>
      <c r="N7" s="109" t="str">
        <f>IF(O7,"Gluc","")</f>
        <v/>
      </c>
      <c r="O7" s="343" t="b">
        <v>0</v>
      </c>
      <c r="P7" s="109" t="str">
        <f>IF(Q7,"Gluc","")</f>
        <v/>
      </c>
      <c r="Q7" s="343" t="b">
        <v>0</v>
      </c>
      <c r="R7" s="109" t="str">
        <f>IF(S7,"Gluc","")</f>
        <v/>
      </c>
      <c r="S7" s="343" t="b">
        <v>0</v>
      </c>
      <c r="U7" s="159"/>
    </row>
    <row r="8" spans="1:21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J8" s="109" t="str">
        <f>IF(K8,"Hb Ht","")</f>
        <v/>
      </c>
      <c r="K8" s="343" t="b">
        <v>0</v>
      </c>
      <c r="L8" s="109" t="str">
        <f>IF(M8,"Hb Ht","")</f>
        <v/>
      </c>
      <c r="M8" s="343" t="b">
        <v>0</v>
      </c>
      <c r="N8" s="109" t="str">
        <f>IF(O8,"Hb Ht","")</f>
        <v/>
      </c>
      <c r="O8" s="343" t="b">
        <v>0</v>
      </c>
      <c r="P8" s="109" t="str">
        <f>IF(Q8,"Hb Ht","")</f>
        <v/>
      </c>
      <c r="Q8" s="343" t="b">
        <v>0</v>
      </c>
      <c r="R8" s="109" t="str">
        <f>IF(S8,"Hb Ht","")</f>
        <v/>
      </c>
      <c r="S8" s="343" t="b">
        <v>0</v>
      </c>
      <c r="U8" s="159"/>
    </row>
    <row r="9" spans="1:21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J9" s="109" t="str">
        <f>IF(K9,"L","")</f>
        <v/>
      </c>
      <c r="K9" s="343" t="b">
        <v>0</v>
      </c>
      <c r="L9" s="109" t="str">
        <f>IF(M9,"L","")</f>
        <v/>
      </c>
      <c r="M9" s="343" t="b">
        <v>0</v>
      </c>
      <c r="N9" s="109" t="str">
        <f>IF(O9,"L","")</f>
        <v/>
      </c>
      <c r="O9" s="343" t="b">
        <v>0</v>
      </c>
      <c r="P9" s="109" t="str">
        <f>IF(Q9,"L","")</f>
        <v/>
      </c>
      <c r="Q9" s="343" t="b">
        <v>0</v>
      </c>
      <c r="R9" s="109" t="str">
        <f>IF(S9,"L","")</f>
        <v/>
      </c>
      <c r="S9" s="343" t="b">
        <v>0</v>
      </c>
      <c r="U9" s="159"/>
    </row>
    <row r="10" spans="1:21" x14ac:dyDescent="0.2">
      <c r="B10" s="109" t="str">
        <f>IF(C10,"L+diff","")</f>
        <v/>
      </c>
      <c r="C10" s="343" t="b">
        <v>0</v>
      </c>
      <c r="D10" s="109" t="str">
        <f>IF(E10,"L+diff","")</f>
        <v/>
      </c>
      <c r="E10" s="343" t="b">
        <v>0</v>
      </c>
      <c r="F10" s="109" t="str">
        <f>IF(G10,"L+diff","")</f>
        <v/>
      </c>
      <c r="G10" s="343" t="b">
        <v>0</v>
      </c>
      <c r="H10" s="109" t="str">
        <f>IF(I10,"L+diff","")</f>
        <v/>
      </c>
      <c r="I10" s="343" t="b">
        <v>0</v>
      </c>
      <c r="J10" s="109" t="str">
        <f>IF(K10,"L+diff","")</f>
        <v/>
      </c>
      <c r="K10" s="343" t="b">
        <v>0</v>
      </c>
      <c r="L10" s="109" t="str">
        <f>IF(M10,"L+diff","")</f>
        <v/>
      </c>
      <c r="M10" s="343" t="b">
        <v>0</v>
      </c>
      <c r="N10" s="109" t="str">
        <f>IF(O10,"L+diff","")</f>
        <v/>
      </c>
      <c r="O10" s="343" t="b">
        <v>0</v>
      </c>
      <c r="P10" s="109" t="str">
        <f>IF(Q10,"L+diff","")</f>
        <v/>
      </c>
      <c r="Q10" s="343" t="b">
        <v>0</v>
      </c>
      <c r="R10" s="109" t="str">
        <f>IF(S10,"L+diff","")</f>
        <v/>
      </c>
      <c r="S10" s="343" t="b">
        <v>0</v>
      </c>
      <c r="U10" s="159"/>
    </row>
    <row r="11" spans="1:21" x14ac:dyDescent="0.2">
      <c r="B11" s="109" t="str">
        <f>IF(C11,"T","")</f>
        <v/>
      </c>
      <c r="C11" s="343" t="b">
        <v>0</v>
      </c>
      <c r="D11" s="109" t="str">
        <f>IF(E11,"T","")</f>
        <v/>
      </c>
      <c r="E11" s="343" t="b">
        <v>0</v>
      </c>
      <c r="F11" s="109" t="str">
        <f>IF(G11,"T","")</f>
        <v/>
      </c>
      <c r="G11" s="343" t="b">
        <v>0</v>
      </c>
      <c r="H11" s="109" t="str">
        <f>IF(I11,"T","")</f>
        <v/>
      </c>
      <c r="I11" s="343" t="b">
        <v>0</v>
      </c>
      <c r="J11" s="109" t="str">
        <f>IF(K11,"T","")</f>
        <v/>
      </c>
      <c r="K11" s="343" t="b">
        <v>0</v>
      </c>
      <c r="L11" s="109" t="str">
        <f>IF(M11,"T","")</f>
        <v/>
      </c>
      <c r="M11" s="343" t="b">
        <v>0</v>
      </c>
      <c r="N11" s="109" t="str">
        <f>IF(O11,"T","")</f>
        <v/>
      </c>
      <c r="O11" s="343" t="b">
        <v>0</v>
      </c>
      <c r="P11" s="109" t="str">
        <f>IF(Q11,"T","")</f>
        <v/>
      </c>
      <c r="Q11" s="343" t="b">
        <v>0</v>
      </c>
      <c r="R11" s="109" t="str">
        <f>IF(S11,"T","")</f>
        <v/>
      </c>
      <c r="S11" s="343" t="b">
        <v>0</v>
      </c>
      <c r="U11" s="159"/>
    </row>
    <row r="12" spans="1:21" x14ac:dyDescent="0.2">
      <c r="B12" s="109" t="str">
        <f>IF(C12,"CRP","")</f>
        <v/>
      </c>
      <c r="C12" s="343" t="b">
        <v>0</v>
      </c>
      <c r="D12" s="109" t="str">
        <f>IF(E12,"CRP","")</f>
        <v/>
      </c>
      <c r="E12" s="343" t="b">
        <v>0</v>
      </c>
      <c r="F12" s="109" t="str">
        <f>IF(G12,"CRP","")</f>
        <v/>
      </c>
      <c r="G12" s="343" t="b">
        <v>0</v>
      </c>
      <c r="H12" s="109" t="str">
        <f>IF(I12,"CRP","")</f>
        <v/>
      </c>
      <c r="I12" s="343" t="b">
        <v>0</v>
      </c>
      <c r="J12" s="109" t="str">
        <f>IF(K12,"CRP","")</f>
        <v/>
      </c>
      <c r="K12" s="343" t="b">
        <v>0</v>
      </c>
      <c r="L12" s="109" t="str">
        <f>IF(M12,"CRP","")</f>
        <v/>
      </c>
      <c r="M12" s="343" t="b">
        <v>0</v>
      </c>
      <c r="N12" s="109" t="str">
        <f>IF(O12,"CRP","")</f>
        <v/>
      </c>
      <c r="O12" s="343" t="b">
        <v>0</v>
      </c>
      <c r="P12" s="109" t="str">
        <f>IF(Q12,"CRP","")</f>
        <v/>
      </c>
      <c r="Q12" s="343" t="b">
        <v>0</v>
      </c>
      <c r="R12" s="109" t="str">
        <f>IF(S12,"CRP","")</f>
        <v/>
      </c>
      <c r="S12" s="343" t="b">
        <v>0</v>
      </c>
      <c r="U12" s="159"/>
    </row>
    <row r="13" spans="1:21" x14ac:dyDescent="0.2">
      <c r="B13" s="109" t="str">
        <f>IF(C13,"Lac","")</f>
        <v/>
      </c>
      <c r="C13" s="343" t="b">
        <v>0</v>
      </c>
      <c r="D13" s="109" t="str">
        <f>IF(E13,"Lac","")</f>
        <v/>
      </c>
      <c r="E13" s="343" t="b">
        <v>0</v>
      </c>
      <c r="F13" s="109" t="str">
        <f>IF(G13,"Lac","")</f>
        <v/>
      </c>
      <c r="G13" s="343" t="b">
        <v>0</v>
      </c>
      <c r="H13" s="109" t="str">
        <f>IF(I13,"Lac","")</f>
        <v/>
      </c>
      <c r="I13" s="343" t="b">
        <v>0</v>
      </c>
      <c r="J13" s="109" t="str">
        <f>IF(K13,"Lac","")</f>
        <v/>
      </c>
      <c r="K13" s="343" t="b">
        <v>0</v>
      </c>
      <c r="L13" s="109" t="str">
        <f>IF(M13,"Lac","")</f>
        <v/>
      </c>
      <c r="M13" s="343" t="b">
        <v>0</v>
      </c>
      <c r="N13" s="109" t="str">
        <f>IF(O13,"Lac","")</f>
        <v/>
      </c>
      <c r="O13" s="343" t="b">
        <v>0</v>
      </c>
      <c r="P13" s="109" t="str">
        <f>IF(Q13,"Lac","")</f>
        <v/>
      </c>
      <c r="Q13" s="343" t="b">
        <v>0</v>
      </c>
      <c r="R13" s="109" t="str">
        <f>IF(S13,"Lac","")</f>
        <v/>
      </c>
      <c r="S13" s="343" t="b">
        <v>0</v>
      </c>
      <c r="U13" s="159"/>
    </row>
    <row r="14" spans="1:21" x14ac:dyDescent="0.2">
      <c r="B14" s="109" t="str">
        <f>IF(C14,"Ur","")</f>
        <v/>
      </c>
      <c r="C14" s="343" t="b">
        <v>0</v>
      </c>
      <c r="D14" s="109" t="str">
        <f>IF(E14,"Ur","")</f>
        <v/>
      </c>
      <c r="E14" s="343" t="b">
        <v>0</v>
      </c>
      <c r="F14" s="109" t="str">
        <f>IF(G14,"Ur","")</f>
        <v/>
      </c>
      <c r="G14" s="343" t="b">
        <v>0</v>
      </c>
      <c r="H14" s="109" t="str">
        <f>IF(I14,"Ur","")</f>
        <v/>
      </c>
      <c r="I14" s="343" t="b">
        <v>0</v>
      </c>
      <c r="J14" s="109" t="str">
        <f>IF(K14,"Ur","")</f>
        <v/>
      </c>
      <c r="K14" s="343" t="b">
        <v>0</v>
      </c>
      <c r="L14" s="109" t="str">
        <f>IF(M14,"Ur","")</f>
        <v/>
      </c>
      <c r="M14" s="343" t="b">
        <v>0</v>
      </c>
      <c r="N14" s="109" t="str">
        <f>IF(O14,"Ur","")</f>
        <v/>
      </c>
      <c r="O14" s="343" t="b">
        <v>0</v>
      </c>
      <c r="P14" s="109" t="str">
        <f>IF(Q14,"Ur","")</f>
        <v/>
      </c>
      <c r="Q14" s="343" t="b">
        <v>0</v>
      </c>
      <c r="R14" s="109" t="str">
        <f>IF(S14,"Ur","")</f>
        <v/>
      </c>
      <c r="S14" s="343" t="b">
        <v>0</v>
      </c>
      <c r="U14" s="159"/>
    </row>
    <row r="15" spans="1:21" x14ac:dyDescent="0.2">
      <c r="B15" s="109" t="str">
        <f>IF(C15,"Kr","")</f>
        <v/>
      </c>
      <c r="C15" s="343" t="b">
        <v>0</v>
      </c>
      <c r="D15" s="109" t="str">
        <f>IF(E15,"Kr++","")</f>
        <v/>
      </c>
      <c r="E15" s="343" t="b">
        <v>0</v>
      </c>
      <c r="F15" s="109" t="str">
        <f>IF(G15,"Kr","")</f>
        <v/>
      </c>
      <c r="G15" s="343" t="b">
        <v>0</v>
      </c>
      <c r="H15" s="109" t="str">
        <f>IF(I15,"Kr","")</f>
        <v/>
      </c>
      <c r="I15" s="343" t="b">
        <v>0</v>
      </c>
      <c r="J15" s="109" t="str">
        <f>IF(K15,"Kr","")</f>
        <v/>
      </c>
      <c r="K15" s="343" t="b">
        <v>0</v>
      </c>
      <c r="L15" s="109" t="str">
        <f>IF(M15,"Kr","")</f>
        <v/>
      </c>
      <c r="M15" s="343" t="b">
        <v>0</v>
      </c>
      <c r="N15" s="109" t="str">
        <f>IF(O15,"Kr","")</f>
        <v/>
      </c>
      <c r="O15" s="343" t="b">
        <v>0</v>
      </c>
      <c r="P15" s="109" t="str">
        <f>IF(Q15,"Kr","")</f>
        <v/>
      </c>
      <c r="Q15" s="343" t="b">
        <v>0</v>
      </c>
      <c r="R15" s="109" t="str">
        <f>IF(S15,"Kr","")</f>
        <v/>
      </c>
      <c r="S15" s="343" t="b">
        <v>0</v>
      </c>
      <c r="U15" s="159"/>
    </row>
    <row r="16" spans="1:21" x14ac:dyDescent="0.2">
      <c r="B16" s="109" t="str">
        <f>IF(C16,"Ca++","")</f>
        <v/>
      </c>
      <c r="C16" s="343" t="b">
        <v>0</v>
      </c>
      <c r="D16" s="109" t="str">
        <f>IF(E16,"Ca++","")</f>
        <v/>
      </c>
      <c r="E16" s="343" t="b">
        <v>0</v>
      </c>
      <c r="F16" s="109" t="str">
        <f>IF(G16,"Ca++","")</f>
        <v/>
      </c>
      <c r="G16" s="343" t="b">
        <v>0</v>
      </c>
      <c r="H16" s="109" t="str">
        <f>IF(I16,"Ca++","")</f>
        <v/>
      </c>
      <c r="I16" s="343" t="b">
        <v>0</v>
      </c>
      <c r="J16" s="109" t="str">
        <f>IF(K16,"Ca++","")</f>
        <v/>
      </c>
      <c r="K16" s="343" t="b">
        <v>0</v>
      </c>
      <c r="L16" s="109" t="str">
        <f>IF(M16,"Ca++","")</f>
        <v/>
      </c>
      <c r="M16" s="343" t="b">
        <v>0</v>
      </c>
      <c r="N16" s="109" t="str">
        <f>IF(O16,"Ca++","")</f>
        <v/>
      </c>
      <c r="O16" s="343" t="b">
        <v>0</v>
      </c>
      <c r="P16" s="109" t="str">
        <f>IF(Q16,"Ca++","")</f>
        <v/>
      </c>
      <c r="Q16" s="343" t="b">
        <v>0</v>
      </c>
      <c r="R16" s="109" t="str">
        <f>IF(S16,"Ca++","")</f>
        <v/>
      </c>
      <c r="S16" s="343" t="b">
        <v>0</v>
      </c>
      <c r="U16" s="159"/>
    </row>
    <row r="17" spans="2:21" x14ac:dyDescent="0.2">
      <c r="B17" s="109" t="str">
        <f>IF(C17,"Mg++","")</f>
        <v/>
      </c>
      <c r="C17" s="343" t="b">
        <v>0</v>
      </c>
      <c r="D17" s="109" t="str">
        <f>IF(E17,"Mg++","")</f>
        <v/>
      </c>
      <c r="E17" s="343" t="b">
        <v>0</v>
      </c>
      <c r="F17" s="109" t="str">
        <f>IF(G17,"Mg++","")</f>
        <v/>
      </c>
      <c r="G17" s="343" t="b">
        <v>0</v>
      </c>
      <c r="H17" s="109" t="str">
        <f>IF(I17,"Mg++","")</f>
        <v/>
      </c>
      <c r="I17" s="343" t="b">
        <v>0</v>
      </c>
      <c r="J17" s="109" t="str">
        <f>IF(K17,"Mg++","")</f>
        <v/>
      </c>
      <c r="K17" s="343" t="b">
        <v>0</v>
      </c>
      <c r="L17" s="109" t="str">
        <f>IF(M17,"Mg++","")</f>
        <v/>
      </c>
      <c r="M17" s="343" t="b">
        <v>0</v>
      </c>
      <c r="N17" s="109" t="str">
        <f>IF(O17,"Mg++","")</f>
        <v/>
      </c>
      <c r="O17" s="343" t="b">
        <v>0</v>
      </c>
      <c r="P17" s="109" t="str">
        <f>IF(Q17,"Mg++","")</f>
        <v/>
      </c>
      <c r="Q17" s="343" t="b">
        <v>0</v>
      </c>
      <c r="R17" s="109" t="str">
        <f>IF(S17,"Mg++","")</f>
        <v/>
      </c>
      <c r="S17" s="343" t="b">
        <v>0</v>
      </c>
      <c r="U17" s="159"/>
    </row>
    <row r="18" spans="2:21" x14ac:dyDescent="0.2">
      <c r="B18" s="109" t="str">
        <f>IF(C18,"Fosfaat","")</f>
        <v/>
      </c>
      <c r="C18" s="343" t="b">
        <v>0</v>
      </c>
      <c r="D18" s="109" t="str">
        <f>IF(E18,"Fosfaat","")</f>
        <v/>
      </c>
      <c r="E18" s="343" t="b">
        <v>0</v>
      </c>
      <c r="F18" s="109" t="str">
        <f>IF(G18,"Fosfaat","")</f>
        <v/>
      </c>
      <c r="G18" s="343" t="b">
        <v>0</v>
      </c>
      <c r="H18" s="109" t="str">
        <f>IF(I18,"Fosfaat","")</f>
        <v/>
      </c>
      <c r="I18" s="343" t="b">
        <v>0</v>
      </c>
      <c r="J18" s="109" t="str">
        <f>IF(K18,"Fosfaat","")</f>
        <v/>
      </c>
      <c r="K18" s="343" t="b">
        <v>0</v>
      </c>
      <c r="L18" s="109" t="str">
        <f>IF(M18,"Fosfaat","")</f>
        <v/>
      </c>
      <c r="M18" s="343" t="b">
        <v>0</v>
      </c>
      <c r="N18" s="109" t="str">
        <f>IF(O18,"Fosfaat","")</f>
        <v/>
      </c>
      <c r="O18" s="343" t="b">
        <v>0</v>
      </c>
      <c r="P18" s="109" t="str">
        <f>IF(Q18,"Fosfaat","")</f>
        <v/>
      </c>
      <c r="Q18" s="343" t="b">
        <v>0</v>
      </c>
      <c r="R18" s="109" t="str">
        <f>IF(S18,"Fosfaat","")</f>
        <v/>
      </c>
      <c r="S18" s="343" t="b">
        <v>0</v>
      </c>
      <c r="U18" s="159"/>
    </row>
    <row r="19" spans="2:21" x14ac:dyDescent="0.2">
      <c r="B19" s="109" t="str">
        <f>IF(C19,"Alb","")</f>
        <v/>
      </c>
      <c r="C19" s="343" t="b">
        <v>0</v>
      </c>
      <c r="D19" s="109" t="str">
        <f>IF(E19,"Alb","")</f>
        <v/>
      </c>
      <c r="E19" s="343" t="b">
        <v>0</v>
      </c>
      <c r="F19" s="109" t="str">
        <f>IF(G19,"Alb","")</f>
        <v/>
      </c>
      <c r="G19" s="343" t="b">
        <v>0</v>
      </c>
      <c r="H19" s="109" t="str">
        <f>IF(I19,"Alb","")</f>
        <v/>
      </c>
      <c r="I19" s="343" t="b">
        <v>0</v>
      </c>
      <c r="J19" s="109" t="str">
        <f>IF(K19,"Alb","")</f>
        <v/>
      </c>
      <c r="K19" s="343" t="b">
        <v>0</v>
      </c>
      <c r="L19" s="109" t="str">
        <f>IF(M19,"Alb","")</f>
        <v/>
      </c>
      <c r="M19" s="343" t="b">
        <v>0</v>
      </c>
      <c r="N19" s="109" t="str">
        <f>IF(O19,"Alb","")</f>
        <v/>
      </c>
      <c r="O19" s="343" t="b">
        <v>0</v>
      </c>
      <c r="P19" s="109" t="str">
        <f>IF(Q19,"Alb","")</f>
        <v/>
      </c>
      <c r="Q19" s="343" t="b">
        <v>0</v>
      </c>
      <c r="R19" s="109" t="str">
        <f>IF(S19,"Alb","")</f>
        <v/>
      </c>
      <c r="S19" s="343" t="b">
        <v>0</v>
      </c>
      <c r="U19" s="159"/>
    </row>
    <row r="20" spans="2:21" x14ac:dyDescent="0.2">
      <c r="B20" s="109" t="str">
        <f>IF(C20,"Ca","")</f>
        <v/>
      </c>
      <c r="C20" s="343" t="b">
        <v>0</v>
      </c>
      <c r="D20" s="109" t="str">
        <f>IF(E20,"Ca","")</f>
        <v/>
      </c>
      <c r="E20" s="343" t="b">
        <v>0</v>
      </c>
      <c r="F20" s="109" t="str">
        <f>IF(G20,"Ca","")</f>
        <v/>
      </c>
      <c r="G20" s="343" t="b">
        <v>0</v>
      </c>
      <c r="H20" s="109" t="str">
        <f>IF(I20,"Ca","")</f>
        <v/>
      </c>
      <c r="I20" s="343" t="b">
        <v>0</v>
      </c>
      <c r="J20" s="109" t="str">
        <f>IF(K20,"Ca","")</f>
        <v/>
      </c>
      <c r="K20" s="343" t="b">
        <v>0</v>
      </c>
      <c r="L20" s="109" t="str">
        <f>IF(M20,"Ca","")</f>
        <v/>
      </c>
      <c r="M20" s="343" t="b">
        <v>0</v>
      </c>
      <c r="N20" s="109" t="str">
        <f>IF(O20,"Ca","")</f>
        <v/>
      </c>
      <c r="O20" s="343" t="b">
        <v>0</v>
      </c>
      <c r="P20" s="109" t="str">
        <f>IF(Q20,"Ca","")</f>
        <v/>
      </c>
      <c r="Q20" s="343" t="b">
        <v>0</v>
      </c>
      <c r="R20" s="109" t="str">
        <f>IF(S20,"Ca","")</f>
        <v/>
      </c>
      <c r="S20" s="343" t="b">
        <v>0</v>
      </c>
      <c r="U20" s="159"/>
    </row>
    <row r="21" spans="2:21" x14ac:dyDescent="0.2">
      <c r="B21" s="109" t="str">
        <f>IF(C21,"ASAT","")</f>
        <v/>
      </c>
      <c r="C21" s="343" t="b">
        <v>0</v>
      </c>
      <c r="D21" s="109" t="str">
        <f>IF(E21,"ASAT","")</f>
        <v/>
      </c>
      <c r="E21" s="343" t="b">
        <v>0</v>
      </c>
      <c r="F21" s="109" t="str">
        <f>IF(G21,"ASAT","")</f>
        <v/>
      </c>
      <c r="G21" s="343" t="b">
        <v>0</v>
      </c>
      <c r="H21" s="109" t="str">
        <f>IF(I21,"ASAT","")</f>
        <v/>
      </c>
      <c r="I21" s="343" t="b">
        <v>0</v>
      </c>
      <c r="J21" s="109" t="str">
        <f>IF(K21,"ASAT","")</f>
        <v/>
      </c>
      <c r="K21" s="343" t="b">
        <v>0</v>
      </c>
      <c r="L21" s="109" t="str">
        <f>IF(M21,"ASAT","")</f>
        <v/>
      </c>
      <c r="M21" s="343" t="b">
        <v>0</v>
      </c>
      <c r="N21" s="109" t="str">
        <f>IF(O21,"ASAT","")</f>
        <v/>
      </c>
      <c r="O21" s="343" t="b">
        <v>0</v>
      </c>
      <c r="P21" s="109" t="str">
        <f>IF(Q21,"ASAT","")</f>
        <v/>
      </c>
      <c r="Q21" s="343" t="b">
        <v>0</v>
      </c>
      <c r="R21" s="109" t="str">
        <f>IF(S21,"ASAT","")</f>
        <v/>
      </c>
      <c r="S21" s="343" t="b">
        <v>0</v>
      </c>
      <c r="U21" s="159"/>
    </row>
    <row r="22" spans="2:21" x14ac:dyDescent="0.2">
      <c r="B22" s="109" t="str">
        <f>IF(C22,"ALAT","")</f>
        <v/>
      </c>
      <c r="C22" s="343" t="b">
        <v>0</v>
      </c>
      <c r="D22" s="109" t="str">
        <f>IF(E22,"ALAT","")</f>
        <v/>
      </c>
      <c r="E22" s="343" t="b">
        <v>0</v>
      </c>
      <c r="F22" s="109" t="str">
        <f>IF(G22,"ALAT","")</f>
        <v/>
      </c>
      <c r="G22" s="343" t="b">
        <v>0</v>
      </c>
      <c r="H22" s="109" t="str">
        <f>IF(I22,"ALAT","")</f>
        <v/>
      </c>
      <c r="I22" s="343" t="b">
        <v>0</v>
      </c>
      <c r="J22" s="109" t="str">
        <f>IF(K22,"ALAT","")</f>
        <v/>
      </c>
      <c r="K22" s="343" t="b">
        <v>0</v>
      </c>
      <c r="L22" s="109" t="str">
        <f>IF(M22,"ALAT","")</f>
        <v/>
      </c>
      <c r="M22" s="343" t="b">
        <v>0</v>
      </c>
      <c r="N22" s="109" t="str">
        <f>IF(O22,"ALAT","")</f>
        <v/>
      </c>
      <c r="O22" s="343" t="b">
        <v>0</v>
      </c>
      <c r="P22" s="109" t="str">
        <f>IF(Q22,"ALAT","")</f>
        <v/>
      </c>
      <c r="Q22" s="343" t="b">
        <v>0</v>
      </c>
      <c r="R22" s="109" t="str">
        <f>IF(S22,"ALAT","")</f>
        <v/>
      </c>
      <c r="S22" s="343" t="b">
        <v>0</v>
      </c>
      <c r="U22" s="159"/>
    </row>
    <row r="23" spans="2:21" x14ac:dyDescent="0.2">
      <c r="B23" s="109" t="str">
        <f>IF(C23,"GGT","")</f>
        <v/>
      </c>
      <c r="C23" s="343" t="b">
        <v>0</v>
      </c>
      <c r="D23" s="109" t="str">
        <f>IF(E23,"GGT","")</f>
        <v/>
      </c>
      <c r="E23" s="343" t="b">
        <v>0</v>
      </c>
      <c r="F23" s="109" t="str">
        <f>IF(G23,"GGT","")</f>
        <v/>
      </c>
      <c r="G23" s="343" t="b">
        <v>0</v>
      </c>
      <c r="H23" s="109" t="str">
        <f>IF(I23,"GGT","")</f>
        <v/>
      </c>
      <c r="I23" s="343" t="b">
        <v>0</v>
      </c>
      <c r="J23" s="109" t="str">
        <f>IF(K23,"GGT","")</f>
        <v/>
      </c>
      <c r="K23" s="343" t="b">
        <v>0</v>
      </c>
      <c r="L23" s="109" t="str">
        <f>IF(M23,"GGT","")</f>
        <v/>
      </c>
      <c r="M23" s="343" t="b">
        <v>0</v>
      </c>
      <c r="N23" s="109" t="str">
        <f>IF(O23,"GGT","")</f>
        <v/>
      </c>
      <c r="O23" s="343" t="b">
        <v>0</v>
      </c>
      <c r="P23" s="109" t="str">
        <f>IF(Q23,"GGT","")</f>
        <v/>
      </c>
      <c r="Q23" s="343" t="b">
        <v>0</v>
      </c>
      <c r="R23" s="109" t="str">
        <f>IF(S23,"GGT","")</f>
        <v/>
      </c>
      <c r="S23" s="343" t="b">
        <v>0</v>
      </c>
      <c r="U23" s="159"/>
    </row>
    <row r="24" spans="2:21" x14ac:dyDescent="0.2">
      <c r="B24" s="109" t="str">
        <f>IF(C24,"AF","")</f>
        <v/>
      </c>
      <c r="C24" s="343" t="b">
        <v>0</v>
      </c>
      <c r="D24" s="109" t="str">
        <f>IF(E24,"AF","")</f>
        <v/>
      </c>
      <c r="E24" s="343" t="b">
        <v>0</v>
      </c>
      <c r="F24" s="109" t="str">
        <f>IF(G24,"AF","")</f>
        <v/>
      </c>
      <c r="G24" s="343" t="b">
        <v>0</v>
      </c>
      <c r="H24" s="109" t="str">
        <f>IF(I24,"AF","")</f>
        <v/>
      </c>
      <c r="I24" s="343" t="b">
        <v>0</v>
      </c>
      <c r="J24" s="109" t="str">
        <f>IF(K24,"AF","")</f>
        <v/>
      </c>
      <c r="K24" s="343" t="b">
        <v>0</v>
      </c>
      <c r="L24" s="109" t="str">
        <f>IF(M24,"AF","")</f>
        <v/>
      </c>
      <c r="M24" s="343" t="b">
        <v>0</v>
      </c>
      <c r="N24" s="109" t="str">
        <f>IF(O24,"AF","")</f>
        <v/>
      </c>
      <c r="O24" s="343" t="b">
        <v>0</v>
      </c>
      <c r="P24" s="109" t="str">
        <f>IF(Q24,"AF","")</f>
        <v/>
      </c>
      <c r="Q24" s="343" t="b">
        <v>0</v>
      </c>
      <c r="R24" s="109" t="str">
        <f>IF(S24,"AF","")</f>
        <v/>
      </c>
      <c r="S24" s="343" t="b">
        <v>0</v>
      </c>
      <c r="U24" s="159"/>
    </row>
    <row r="25" spans="2:21" x14ac:dyDescent="0.2">
      <c r="B25" s="109" t="str">
        <f>IF(C25,"LDH","")</f>
        <v/>
      </c>
      <c r="C25" s="343" t="b">
        <v>0</v>
      </c>
      <c r="D25" s="109" t="str">
        <f>IF(E25,"LDH","")</f>
        <v/>
      </c>
      <c r="E25" s="343" t="b">
        <v>0</v>
      </c>
      <c r="F25" s="109" t="str">
        <f>IF(G25,"LDH","")</f>
        <v/>
      </c>
      <c r="G25" s="343" t="b">
        <v>0</v>
      </c>
      <c r="H25" s="109" t="str">
        <f>IF(I25,"LDH","")</f>
        <v/>
      </c>
      <c r="I25" s="343" t="b">
        <v>0</v>
      </c>
      <c r="J25" s="109" t="str">
        <f>IF(K25,"LDH","")</f>
        <v/>
      </c>
      <c r="K25" s="343" t="b">
        <v>0</v>
      </c>
      <c r="L25" s="109" t="str">
        <f>IF(M25,"LDH","")</f>
        <v/>
      </c>
      <c r="M25" s="343" t="b">
        <v>0</v>
      </c>
      <c r="N25" s="109" t="str">
        <f>IF(O25,"LDH","")</f>
        <v/>
      </c>
      <c r="O25" s="343" t="b">
        <v>0</v>
      </c>
      <c r="P25" s="109" t="str">
        <f>IF(Q25,"LDH","")</f>
        <v/>
      </c>
      <c r="Q25" s="343" t="b">
        <v>0</v>
      </c>
      <c r="R25" s="109" t="str">
        <f>IF(S25,"LDH","")</f>
        <v/>
      </c>
      <c r="S25" s="343" t="b">
        <v>0</v>
      </c>
      <c r="U25" s="159"/>
    </row>
    <row r="26" spans="2:21" x14ac:dyDescent="0.2">
      <c r="B26" s="109" t="str">
        <f>IF(C26,"Bili","")</f>
        <v/>
      </c>
      <c r="C26" s="343" t="b">
        <v>0</v>
      </c>
      <c r="D26" s="109" t="str">
        <f>IF(E26,"Bili","")</f>
        <v/>
      </c>
      <c r="E26" s="343" t="b">
        <v>0</v>
      </c>
      <c r="F26" s="109" t="str">
        <f>IF(G26,"Bili","")</f>
        <v/>
      </c>
      <c r="G26" s="343" t="b">
        <v>0</v>
      </c>
      <c r="H26" s="109" t="str">
        <f>IF(I26,"Bili","")</f>
        <v/>
      </c>
      <c r="I26" s="343" t="b">
        <v>0</v>
      </c>
      <c r="J26" s="109" t="str">
        <f>IF(K26,"Bili","")</f>
        <v/>
      </c>
      <c r="K26" s="343" t="b">
        <v>0</v>
      </c>
      <c r="L26" s="109" t="str">
        <f>IF(M26,"Bili","")</f>
        <v/>
      </c>
      <c r="M26" s="343" t="b">
        <v>0</v>
      </c>
      <c r="N26" s="109" t="str">
        <f>IF(O26,"Bili","")</f>
        <v/>
      </c>
      <c r="O26" s="343" t="b">
        <v>0</v>
      </c>
      <c r="P26" s="109" t="str">
        <f>IF(Q26,"Bili","")</f>
        <v/>
      </c>
      <c r="Q26" s="343" t="b">
        <v>0</v>
      </c>
      <c r="R26" s="109" t="str">
        <f>IF(S26,"Bili","")</f>
        <v/>
      </c>
      <c r="S26" s="343" t="b">
        <v>0</v>
      </c>
      <c r="U26" s="159"/>
    </row>
    <row r="27" spans="2:21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J27" s="109" t="str">
        <f>IF(K27,"TG","")</f>
        <v/>
      </c>
      <c r="K27" s="343" t="b">
        <v>0</v>
      </c>
      <c r="L27" s="109" t="str">
        <f>IF(M27,"TG","")</f>
        <v/>
      </c>
      <c r="M27" s="343" t="b">
        <v>0</v>
      </c>
      <c r="N27" s="109" t="str">
        <f>IF(O27,"TG","")</f>
        <v/>
      </c>
      <c r="O27" s="343" t="b">
        <v>0</v>
      </c>
      <c r="P27" s="109" t="str">
        <f>IF(Q27,"TG","")</f>
        <v/>
      </c>
      <c r="Q27" s="343" t="b">
        <v>0</v>
      </c>
      <c r="R27" s="109" t="str">
        <f>IF(S27,"TG","")</f>
        <v/>
      </c>
      <c r="S27" s="343" t="b">
        <v>0</v>
      </c>
      <c r="U27" s="159"/>
    </row>
    <row r="28" spans="2:21" x14ac:dyDescent="0.2">
      <c r="B28" s="109" t="str">
        <f>IF(C28,"PT","")</f>
        <v/>
      </c>
      <c r="C28" s="343" t="b">
        <v>0</v>
      </c>
      <c r="D28" s="109" t="str">
        <f>IF(E28,"PT","")</f>
        <v/>
      </c>
      <c r="E28" s="343" t="b">
        <v>0</v>
      </c>
      <c r="F28" s="109" t="str">
        <f>IF(G28,"PT","")</f>
        <v/>
      </c>
      <c r="G28" s="343" t="b">
        <v>0</v>
      </c>
      <c r="H28" s="109" t="str">
        <f>IF(I28,"PT","")</f>
        <v/>
      </c>
      <c r="I28" s="343" t="b">
        <v>0</v>
      </c>
      <c r="J28" s="109" t="str">
        <f>IF(K28,"PT","")</f>
        <v/>
      </c>
      <c r="K28" s="343" t="b">
        <v>0</v>
      </c>
      <c r="L28" s="109" t="str">
        <f>IF(M28,"PT","")</f>
        <v/>
      </c>
      <c r="M28" s="343" t="b">
        <v>0</v>
      </c>
      <c r="N28" s="109" t="str">
        <f>IF(O28,"PT","")</f>
        <v/>
      </c>
      <c r="O28" s="343" t="b">
        <v>0</v>
      </c>
      <c r="P28" s="109" t="str">
        <f>IF(Q28,"PT","")</f>
        <v/>
      </c>
      <c r="Q28" s="343" t="b">
        <v>0</v>
      </c>
      <c r="R28" s="109" t="str">
        <f>IF(S28,"PT","")</f>
        <v/>
      </c>
      <c r="S28" s="343" t="b">
        <v>0</v>
      </c>
      <c r="U28" s="159"/>
    </row>
    <row r="29" spans="2:21" x14ac:dyDescent="0.2">
      <c r="B29" s="109" t="str">
        <f>IF(C29,"APPT","")</f>
        <v/>
      </c>
      <c r="C29" s="343" t="b">
        <v>0</v>
      </c>
      <c r="D29" s="109" t="str">
        <f>IF(E29,"APPT","")</f>
        <v/>
      </c>
      <c r="E29" s="343" t="b">
        <v>0</v>
      </c>
      <c r="F29" s="109" t="str">
        <f>IF(G29,"APPT","")</f>
        <v/>
      </c>
      <c r="G29" s="343" t="b">
        <v>0</v>
      </c>
      <c r="H29" s="109" t="str">
        <f>IF(I29,"APPT","")</f>
        <v/>
      </c>
      <c r="I29" s="343" t="b">
        <v>0</v>
      </c>
      <c r="J29" s="109" t="str">
        <f>IF(K29,"APPT","")</f>
        <v/>
      </c>
      <c r="K29" s="343" t="b">
        <v>0</v>
      </c>
      <c r="L29" s="109" t="str">
        <f>IF(M29,"APPT","")</f>
        <v/>
      </c>
      <c r="M29" s="343" t="b">
        <v>0</v>
      </c>
      <c r="N29" s="109" t="str">
        <f>IF(O29,"APPT","")</f>
        <v/>
      </c>
      <c r="O29" s="343" t="b">
        <v>0</v>
      </c>
      <c r="P29" s="109" t="str">
        <f>IF(Q29,"APPT","")</f>
        <v/>
      </c>
      <c r="Q29" s="343" t="b">
        <v>0</v>
      </c>
      <c r="R29" s="109" t="str">
        <f>IF(S29,"APPT","")</f>
        <v/>
      </c>
      <c r="S29" s="343" t="b">
        <v>0</v>
      </c>
      <c r="U29" s="159"/>
    </row>
    <row r="30" spans="2:21" x14ac:dyDescent="0.2">
      <c r="B30" s="109" t="str">
        <f>IF(C30,"NICU APPT","")</f>
        <v/>
      </c>
      <c r="C30" s="343" t="b">
        <v>0</v>
      </c>
      <c r="D30" s="109" t="str">
        <f>IF(E30,"NICU APPT","")</f>
        <v/>
      </c>
      <c r="E30" s="343" t="b">
        <v>0</v>
      </c>
      <c r="F30" s="109" t="str">
        <f>IF(G30,"NICU APPT","")</f>
        <v/>
      </c>
      <c r="G30" s="343" t="b">
        <v>0</v>
      </c>
      <c r="H30" s="109" t="str">
        <f>IF(I30,"NICU APPT","")</f>
        <v/>
      </c>
      <c r="I30" s="343" t="b">
        <v>0</v>
      </c>
      <c r="J30" s="109" t="str">
        <f>IF(K30,"NICU APPT","")</f>
        <v/>
      </c>
      <c r="K30" s="343" t="b">
        <v>0</v>
      </c>
      <c r="L30" s="109" t="str">
        <f>IF(M30,"NICU APPT","")</f>
        <v/>
      </c>
      <c r="M30" s="343" t="b">
        <v>0</v>
      </c>
      <c r="N30" s="109" t="str">
        <f>IF(O30,"NICU APPT","")</f>
        <v/>
      </c>
      <c r="O30" s="343" t="b">
        <v>0</v>
      </c>
      <c r="P30" s="109" t="str">
        <f>IF(Q30,"NICU APPT","")</f>
        <v/>
      </c>
      <c r="Q30" s="343" t="b">
        <v>0</v>
      </c>
      <c r="R30" s="109" t="str">
        <f>IF(S30,"NICU APPT","")</f>
        <v/>
      </c>
      <c r="S30" s="343" t="b">
        <v>0</v>
      </c>
      <c r="U30" s="159"/>
    </row>
    <row r="31" spans="2:21" x14ac:dyDescent="0.2">
      <c r="B31" s="109" t="str">
        <f>IF(C31,"BG","")</f>
        <v/>
      </c>
      <c r="C31" s="343" t="b">
        <v>0</v>
      </c>
      <c r="D31" s="109" t="str">
        <f>IF(E31,"BG","")</f>
        <v/>
      </c>
      <c r="E31" s="343" t="b">
        <v>0</v>
      </c>
      <c r="F31" s="109" t="str">
        <f>IF(G31,"BG","")</f>
        <v/>
      </c>
      <c r="G31" s="343" t="b">
        <v>0</v>
      </c>
      <c r="H31" s="109" t="str">
        <f>IF(I31,"BG","")</f>
        <v/>
      </c>
      <c r="I31" s="343" t="b">
        <v>0</v>
      </c>
      <c r="J31" s="109" t="str">
        <f>IF(K31,"BG","")</f>
        <v/>
      </c>
      <c r="K31" s="343" t="b">
        <v>0</v>
      </c>
      <c r="L31" s="109" t="str">
        <f>IF(M31,"BG","")</f>
        <v/>
      </c>
      <c r="M31" s="343" t="b">
        <v>0</v>
      </c>
      <c r="N31" s="109" t="str">
        <f>IF(O31,"BG","")</f>
        <v/>
      </c>
      <c r="O31" s="343" t="b">
        <v>0</v>
      </c>
      <c r="P31" s="109" t="str">
        <f>IF(Q31,"BG","")</f>
        <v/>
      </c>
      <c r="Q31" s="343" t="b">
        <v>0</v>
      </c>
      <c r="R31" s="109" t="str">
        <f>IF(S31,"BG","")</f>
        <v/>
      </c>
      <c r="S31" s="343" t="b">
        <v>0</v>
      </c>
      <c r="U31" s="159"/>
    </row>
    <row r="32" spans="2:21" x14ac:dyDescent="0.2">
      <c r="B32" s="109" t="str">
        <f>IF(C32,"antiAx","")</f>
        <v/>
      </c>
      <c r="C32" s="343" t="b">
        <v>0</v>
      </c>
      <c r="D32" s="109" t="str">
        <f>IF(E32,"antiAx","")</f>
        <v/>
      </c>
      <c r="E32" s="343" t="b">
        <v>0</v>
      </c>
      <c r="F32" s="109" t="str">
        <f>IF(G32,"antiAx","")</f>
        <v/>
      </c>
      <c r="G32" s="343" t="b">
        <v>0</v>
      </c>
      <c r="H32" s="109" t="str">
        <f>IF(I32,"antiAx","")</f>
        <v/>
      </c>
      <c r="I32" s="343" t="b">
        <v>0</v>
      </c>
      <c r="J32" s="109" t="str">
        <f>IF(K32,"antiAx","")</f>
        <v/>
      </c>
      <c r="K32" s="343" t="b">
        <v>0</v>
      </c>
      <c r="L32" s="109" t="str">
        <f>IF(M32,"antiAx","")</f>
        <v/>
      </c>
      <c r="M32" s="343" t="b">
        <v>0</v>
      </c>
      <c r="N32" s="109" t="str">
        <f>IF(O32,"antiAx","")</f>
        <v/>
      </c>
      <c r="O32" s="343" t="b">
        <v>0</v>
      </c>
      <c r="P32" s="109" t="str">
        <f>IF(Q32,"antiAx","")</f>
        <v/>
      </c>
      <c r="Q32" s="343" t="b">
        <v>0</v>
      </c>
      <c r="R32" s="109" t="str">
        <f>IF(S32,"antiAx","")</f>
        <v/>
      </c>
      <c r="S32" s="343" t="b">
        <v>0</v>
      </c>
      <c r="U32" s="159"/>
    </row>
    <row r="33" spans="2:21" x14ac:dyDescent="0.2">
      <c r="B33" s="109" t="str">
        <f>IF(C33,"BNP","")</f>
        <v/>
      </c>
      <c r="C33" s="343" t="b">
        <v>0</v>
      </c>
      <c r="D33" s="109" t="str">
        <f>IF(E33,"BNP","")</f>
        <v/>
      </c>
      <c r="E33" s="343" t="b">
        <v>0</v>
      </c>
      <c r="F33" s="109" t="str">
        <f>IF(G33,"BNP","")</f>
        <v/>
      </c>
      <c r="G33" s="343" t="b">
        <v>0</v>
      </c>
      <c r="H33" s="109" t="str">
        <f>IF(I33,"BNP","")</f>
        <v/>
      </c>
      <c r="I33" s="343" t="b">
        <v>0</v>
      </c>
      <c r="J33" s="109" t="str">
        <f>IF(K33,"BNP","")</f>
        <v/>
      </c>
      <c r="K33" s="343" t="b">
        <v>0</v>
      </c>
      <c r="L33" s="109" t="str">
        <f>IF(M33,"BNP","")</f>
        <v/>
      </c>
      <c r="M33" s="343" t="b">
        <v>0</v>
      </c>
      <c r="N33" s="109" t="str">
        <f>IF(O33,"BNP","")</f>
        <v/>
      </c>
      <c r="O33" s="343" t="b">
        <v>0</v>
      </c>
      <c r="P33" s="109" t="str">
        <f>IF(Q33,"BNP","")</f>
        <v/>
      </c>
      <c r="Q33" s="343" t="b">
        <v>0</v>
      </c>
      <c r="R33" s="109" t="str">
        <f>IF(S33,"BNP","")</f>
        <v/>
      </c>
      <c r="S33" s="343" t="b">
        <v>0</v>
      </c>
      <c r="U33" s="159"/>
    </row>
    <row r="34" spans="2:21" x14ac:dyDescent="0.2">
      <c r="B34" s="109" t="str">
        <f>IF(C34,"Troponine","")</f>
        <v/>
      </c>
      <c r="C34" s="343" t="b">
        <v>0</v>
      </c>
      <c r="D34" s="109" t="str">
        <f>IF(E34,"Troponine","")</f>
        <v/>
      </c>
      <c r="E34" s="343" t="b">
        <v>0</v>
      </c>
      <c r="F34" s="109" t="str">
        <f>IF(G34,"Troponine","")</f>
        <v/>
      </c>
      <c r="G34" s="343" t="b">
        <v>0</v>
      </c>
      <c r="H34" s="109" t="str">
        <f>IF(I34,"Troponine","")</f>
        <v/>
      </c>
      <c r="I34" s="343" t="b">
        <v>0</v>
      </c>
      <c r="J34" s="109" t="str">
        <f>IF(K34,"Troponine","")</f>
        <v/>
      </c>
      <c r="K34" s="343" t="b">
        <v>0</v>
      </c>
      <c r="L34" s="109" t="str">
        <f>IF(M34,"Troponine","")</f>
        <v/>
      </c>
      <c r="M34" s="343" t="b">
        <v>0</v>
      </c>
      <c r="N34" s="109" t="str">
        <f>IF(O34,"Troponine","")</f>
        <v/>
      </c>
      <c r="O34" s="343" t="b">
        <v>0</v>
      </c>
      <c r="P34" s="109" t="str">
        <f>IF(Q34,"Troponine","")</f>
        <v/>
      </c>
      <c r="Q34" s="343" t="b">
        <v>0</v>
      </c>
      <c r="R34" s="109" t="str">
        <f>IF(S34,"Troponine","")</f>
        <v/>
      </c>
      <c r="S34" s="343" t="b">
        <v>0</v>
      </c>
      <c r="U34" s="159"/>
    </row>
    <row r="35" spans="2:21" x14ac:dyDescent="0.2">
      <c r="B35" s="109" t="str">
        <f>IF(C35,"Coombs-test","")</f>
        <v/>
      </c>
      <c r="C35" s="343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6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6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3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0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31"/>
      <c r="F21" s="931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08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09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209</v>
      </c>
      <c r="D27" s="311" t="str">
        <f>CONCATENATE(0.1*(_Pat_Gewicht/10), " mg")</f>
        <v>0 mg</v>
      </c>
      <c r="E27" s="312" t="str">
        <f>"= "&amp;0.02*(_Pat_Gewicht/10)&amp;"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880</v>
      </c>
      <c r="D28" s="314" t="str">
        <f>CONCATENATE(20*(_Pat_Gewicht/10), " mg")</f>
        <v>0 mg</v>
      </c>
      <c r="E28" s="315" t="str">
        <f>"= "&amp;0.4*(_Pat_Gewicht/10)&amp;"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7" t="s">
        <v>568</v>
      </c>
      <c r="C30" s="328" t="s">
        <v>881</v>
      </c>
      <c r="D30" s="340" t="str">
        <f>CONCATENATE(0.225*(_Pat_Gewicht/10)," (mmol IV)")</f>
        <v>0 (mmol IV)</v>
      </c>
      <c r="E30" s="329" t="str">
        <f>"= "&amp;1*(_Pat_Gewicht/10)&amp;" ml IV van Calcium gluconaat 10%"</f>
        <v>= 0 ml IV van Calcium gluconaat 10%</v>
      </c>
      <c r="F30" s="329"/>
      <c r="G30" s="334"/>
      <c r="H30" s="322"/>
      <c r="I30" s="322"/>
      <c r="J30" s="338"/>
      <c r="K30" s="338"/>
      <c r="L30" s="338"/>
      <c r="M30" s="338"/>
      <c r="N30" s="338"/>
      <c r="O30" s="338"/>
      <c r="P30" s="338"/>
      <c r="Q30" s="338"/>
      <c r="R30" s="338"/>
      <c r="S30" s="338">
        <v>45</v>
      </c>
      <c r="T30" s="338">
        <v>50</v>
      </c>
      <c r="U30" s="338"/>
      <c r="V30" s="338"/>
      <c r="W30" s="338"/>
      <c r="X30" s="338"/>
      <c r="Y30" s="333"/>
      <c r="Z30" s="92"/>
    </row>
    <row r="31" spans="2:26" ht="19.5" customHeight="1" x14ac:dyDescent="0.25">
      <c r="B31" s="327"/>
      <c r="C31" s="326" t="s">
        <v>95</v>
      </c>
      <c r="D31" s="323" t="str">
        <f>CONCATENATE(0.1*(_Pat_Gewicht/10)," mg")</f>
        <v>0 mg</v>
      </c>
      <c r="E31" s="322" t="str">
        <f>"= "&amp;0.1*(_Pat_Gewicht/10)&amp;" ml van Morfine 1mg/1ml oplossing"</f>
        <v>= 0 ml van Morfine 1mg/1ml oplossing</v>
      </c>
      <c r="F31" s="322"/>
      <c r="G31" s="335"/>
      <c r="H31" s="322"/>
      <c r="I31" s="322"/>
      <c r="J31" s="339"/>
      <c r="K31" s="338"/>
      <c r="L31" s="338"/>
      <c r="M31" s="338"/>
      <c r="N31" s="338"/>
      <c r="O31" s="338"/>
      <c r="P31" s="338"/>
      <c r="Q31" s="338"/>
      <c r="R31" s="338"/>
      <c r="S31" s="338">
        <v>46</v>
      </c>
      <c r="T31" s="338">
        <v>50</v>
      </c>
      <c r="U31" s="338"/>
      <c r="V31" s="338"/>
      <c r="W31" s="338"/>
      <c r="X31" s="338"/>
      <c r="Y31" s="333"/>
    </row>
    <row r="32" spans="2:26" ht="19.5" customHeight="1" thickBot="1" x14ac:dyDescent="0.25">
      <c r="B32" s="327"/>
      <c r="C32" s="330" t="s">
        <v>601</v>
      </c>
      <c r="D32" s="331" t="str">
        <f>CONCATENATE(0.6*(_Pat_Gewicht/10)," mg")</f>
        <v>0 mg</v>
      </c>
      <c r="E32" s="332" t="str">
        <f>"= "&amp;0.06*(_Pat_Gewicht/10)&amp;" ml van Rocorium 10mg/1ml oplossing"</f>
        <v>= 0 ml van Rocorium 10mg/1ml oplossing</v>
      </c>
      <c r="F32" s="332"/>
      <c r="G32" s="336"/>
      <c r="H32" s="322"/>
      <c r="I32" s="322"/>
      <c r="J32" s="338"/>
      <c r="K32" s="338"/>
      <c r="L32" s="338"/>
      <c r="M32" s="338"/>
      <c r="N32" s="338"/>
      <c r="O32" s="338"/>
      <c r="P32" s="338"/>
      <c r="Q32" s="338"/>
      <c r="R32" s="338"/>
      <c r="S32" s="338">
        <v>47</v>
      </c>
      <c r="T32" s="338">
        <v>50</v>
      </c>
      <c r="U32" s="338"/>
      <c r="V32" s="338"/>
      <c r="W32" s="338"/>
      <c r="X32" s="338"/>
      <c r="Y32" s="333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8"/>
      <c r="K33" s="338"/>
      <c r="L33" s="338"/>
      <c r="M33" s="338"/>
      <c r="N33" s="338"/>
      <c r="O33" s="338"/>
      <c r="P33" s="338"/>
      <c r="Q33" s="338"/>
      <c r="R33" s="338"/>
      <c r="S33" s="338">
        <v>48</v>
      </c>
      <c r="T33" s="338">
        <v>50</v>
      </c>
      <c r="U33" s="338"/>
      <c r="V33" s="338"/>
      <c r="W33" s="338"/>
      <c r="X33" s="338"/>
      <c r="Y33" s="333"/>
    </row>
    <row r="34" spans="2:25" x14ac:dyDescent="0.2">
      <c r="B34" s="321"/>
      <c r="C34" s="322"/>
      <c r="D34" s="323"/>
      <c r="E34" s="322"/>
      <c r="F34" s="322"/>
      <c r="G34" s="337"/>
      <c r="H34" s="322"/>
      <c r="I34" s="322"/>
      <c r="J34" s="338"/>
      <c r="K34" s="338"/>
      <c r="L34" s="338"/>
      <c r="M34" s="338"/>
      <c r="N34" s="338"/>
      <c r="O34" s="338"/>
      <c r="P34" s="338"/>
      <c r="Q34" s="338"/>
      <c r="R34" s="338"/>
      <c r="S34" s="338">
        <v>49</v>
      </c>
      <c r="T34" s="338">
        <v>50</v>
      </c>
      <c r="U34" s="338"/>
      <c r="V34" s="338"/>
      <c r="W34" s="338"/>
      <c r="X34" s="338"/>
      <c r="Y34" s="333"/>
    </row>
    <row r="35" spans="2:25" x14ac:dyDescent="0.2">
      <c r="B35" s="320"/>
      <c r="C35" s="322"/>
      <c r="D35" s="322"/>
      <c r="E35" s="322"/>
      <c r="F35" s="322"/>
      <c r="G35" s="322"/>
      <c r="H35" s="322"/>
      <c r="I35" s="322"/>
      <c r="J35" s="338"/>
      <c r="K35" s="338"/>
      <c r="L35" s="338"/>
      <c r="M35" s="338"/>
      <c r="N35" s="338"/>
      <c r="O35" s="338"/>
      <c r="P35" s="338"/>
      <c r="Q35" s="338"/>
      <c r="R35" s="338"/>
      <c r="S35" s="338">
        <v>50</v>
      </c>
      <c r="T35" s="338">
        <v>50</v>
      </c>
      <c r="U35" s="338">
        <v>50</v>
      </c>
      <c r="V35" s="338"/>
      <c r="W35" s="338"/>
      <c r="X35" s="338"/>
      <c r="Y35" s="333"/>
    </row>
    <row r="36" spans="2:25" x14ac:dyDescent="0.2">
      <c r="B36" s="325" t="s">
        <v>68</v>
      </c>
      <c r="C36" s="324"/>
      <c r="D36" s="322"/>
      <c r="E36" s="322"/>
      <c r="F36" s="322"/>
      <c r="G36" s="322"/>
      <c r="H36" s="322"/>
      <c r="I36" s="322"/>
      <c r="J36" s="338"/>
      <c r="K36" s="338"/>
      <c r="L36" s="338"/>
      <c r="M36" s="338"/>
      <c r="N36" s="338"/>
      <c r="O36" s="338"/>
      <c r="P36" s="338"/>
      <c r="Q36" s="338"/>
      <c r="R36" s="338"/>
      <c r="S36" s="338">
        <v>51</v>
      </c>
      <c r="T36" s="338">
        <v>70</v>
      </c>
      <c r="U36" s="338"/>
      <c r="V36" s="338"/>
      <c r="W36" s="338"/>
      <c r="X36" s="338"/>
      <c r="Y36" s="333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4" t="str">
        <f>Txt_Pat_Bed</f>
        <v/>
      </c>
      <c r="L1" s="109" t="s">
        <v>401</v>
      </c>
      <c r="M1" s="933">
        <f ca="1">TODAY()</f>
        <v>43002</v>
      </c>
      <c r="N1" s="934"/>
      <c r="O1" s="624"/>
      <c r="P1" s="624"/>
      <c r="Q1" s="111">
        <f ca="1">NOW()</f>
        <v>43002.558863078702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35">
        <f>__0_PatNum</f>
        <v>0</v>
      </c>
      <c r="N3" s="935"/>
      <c r="O3" s="625"/>
      <c r="P3" s="625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36" t="str">
        <f ca="1">Txt_Pat_GeboorteDat</f>
        <v/>
      </c>
      <c r="N5" s="936"/>
      <c r="O5" s="936"/>
      <c r="P5" s="936"/>
      <c r="Q5" s="936"/>
      <c r="R5" s="936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37" t="str">
        <f ca="1">Txt_Pat_AfspraakDat</f>
        <v>24-sep-2017</v>
      </c>
      <c r="E9" s="937"/>
      <c r="F9" s="934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38" t="str">
        <f ca="1">Txt_Pat_Leeftijd</f>
        <v/>
      </c>
      <c r="J10" s="934"/>
      <c r="K10" s="934"/>
      <c r="L10" s="934"/>
      <c r="M10" s="934"/>
      <c r="N10" s="934"/>
      <c r="O10" s="934"/>
      <c r="P10" s="934"/>
      <c r="Q10" s="939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29"/>
      <c r="P51" s="629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29"/>
      <c r="P52" s="629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29"/>
      <c r="P53" s="629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29"/>
      <c r="P54" s="629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29"/>
      <c r="P55" s="629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29"/>
      <c r="P56" s="629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29"/>
      <c r="P57" s="629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29"/>
      <c r="P58" s="629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29"/>
      <c r="P59" s="629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30" t="str">
        <f>NeoGuiInfB!D3</f>
        <v>Volume</v>
      </c>
      <c r="C63" s="125"/>
      <c r="D63" s="631" t="str">
        <f>NeoGuiInfB!G3</f>
        <v/>
      </c>
      <c r="E63" s="125"/>
      <c r="F63" s="125"/>
      <c r="G63" s="125"/>
      <c r="H63" s="125"/>
      <c r="I63" s="125"/>
      <c r="J63" s="630"/>
      <c r="K63" s="125"/>
      <c r="L63" s="631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31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30" t="str">
        <f>NeoGuiInfB!D5</f>
        <v>Vet</v>
      </c>
      <c r="C65" s="125"/>
      <c r="D65" s="631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30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31" t="str">
        <f>NeoGuiInfB!D6</f>
        <v>Glucose</v>
      </c>
      <c r="C66" s="125"/>
      <c r="D66" s="631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31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31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32" t="s">
        <v>89</v>
      </c>
      <c r="C69" s="932"/>
      <c r="D69" s="932"/>
      <c r="E69" s="932"/>
      <c r="F69" s="932"/>
      <c r="G69" s="932"/>
      <c r="H69" s="932"/>
      <c r="I69" s="932"/>
      <c r="J69" s="932"/>
      <c r="K69" s="932"/>
      <c r="L69" s="932"/>
      <c r="M69" s="932"/>
      <c r="N69" s="932"/>
      <c r="O69" s="932"/>
      <c r="P69" s="932"/>
      <c r="Q69" s="932"/>
      <c r="R69" s="932"/>
      <c r="S69" s="932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32" t="s">
        <v>57</v>
      </c>
      <c r="C80" s="932"/>
      <c r="D80" s="932"/>
      <c r="E80" s="932"/>
      <c r="F80" s="932"/>
      <c r="G80" s="932"/>
      <c r="H80" s="932"/>
      <c r="I80" s="932"/>
      <c r="J80" s="932"/>
      <c r="K80" s="932"/>
      <c r="L80" s="932"/>
      <c r="M80" s="932"/>
      <c r="N80" s="932"/>
      <c r="O80" s="932"/>
      <c r="P80" s="932"/>
      <c r="Q80" s="932"/>
      <c r="R80" s="932"/>
      <c r="S80" s="932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17" sqref="A17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5182</v>
      </c>
      <c r="B1" s="115" t="s">
        <v>4993</v>
      </c>
      <c r="H1" s="940" t="s">
        <v>408</v>
      </c>
      <c r="I1" s="940"/>
      <c r="J1" s="941" t="str">
        <f ca="1">DateToString(TODAY())</f>
        <v>24-sep-2017</v>
      </c>
      <c r="K1" s="941"/>
      <c r="L1" s="941"/>
      <c r="M1" s="940" t="s">
        <v>399</v>
      </c>
      <c r="N1" s="940"/>
      <c r="O1" s="940">
        <f>__1_Bed</f>
        <v>0</v>
      </c>
      <c r="P1" s="940"/>
    </row>
    <row r="2" spans="1:17" x14ac:dyDescent="0.2">
      <c r="B2" s="942" t="s">
        <v>407</v>
      </c>
      <c r="C2" s="942"/>
      <c r="D2" s="943" t="str">
        <f>__3_VoorNaam&amp;" "&amp;__2_AchterNaam</f>
        <v xml:space="preserve"> </v>
      </c>
      <c r="E2" s="943"/>
      <c r="F2" s="943"/>
      <c r="G2" s="943"/>
      <c r="H2" s="940" t="s">
        <v>411</v>
      </c>
      <c r="I2" s="940"/>
      <c r="J2" s="935" t="s">
        <v>3513</v>
      </c>
      <c r="K2" s="935"/>
      <c r="L2" s="935"/>
      <c r="M2" s="940" t="s">
        <v>409</v>
      </c>
      <c r="N2" s="940"/>
      <c r="O2" s="944">
        <f ca="1">NOW()</f>
        <v>43002.558863078702</v>
      </c>
      <c r="P2" s="944"/>
    </row>
    <row r="3" spans="1:17" x14ac:dyDescent="0.2">
      <c r="B3" s="319" t="s">
        <v>5183</v>
      </c>
      <c r="D3" s="935" t="str">
        <f>Txt_Pat_PatNo</f>
        <v/>
      </c>
      <c r="E3" s="935"/>
      <c r="H3" s="942" t="s">
        <v>410</v>
      </c>
      <c r="I3" s="942"/>
      <c r="J3" s="115">
        <f>(_Pat_Gewicht/10)</f>
        <v>0</v>
      </c>
      <c r="K3" s="319" t="s">
        <v>498</v>
      </c>
      <c r="L3" s="117"/>
      <c r="M3" s="940" t="s">
        <v>426</v>
      </c>
      <c r="N3" s="940"/>
      <c r="O3" s="942"/>
      <c r="P3" s="942"/>
    </row>
    <row r="4" spans="1:17" ht="9" customHeight="1" x14ac:dyDescent="0.2">
      <c r="B4" s="769" t="str">
        <f>IF(INDEX(Tbl_Neo_BerMedCont,A5,6)/10=0,"",INDEX(Tbl_Neo_BerMedCont,A5,6))</f>
        <v/>
      </c>
      <c r="C4" s="769">
        <f>INDEX(Tbl_Neo_BerMedCont,A5,4)</f>
        <v>0</v>
      </c>
      <c r="G4" s="769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68">
        <v>10</v>
      </c>
      <c r="B5" s="745"/>
      <c r="C5" s="745"/>
      <c r="D5" s="772" t="str">
        <f>INDEX(Tbl_Neo_BerMedCont,A5,10)</f>
        <v/>
      </c>
      <c r="E5" s="746"/>
      <c r="F5" s="747"/>
      <c r="G5" s="746">
        <f>IF(Var_Neo_InfB_Cont_DubbeleHoev,2*INDEX(Tbl_Neo_BerMedCont,A5,3)/10,INDEX(Tbl_Neo_BerMedCont,A5,3)/10)</f>
        <v>0</v>
      </c>
      <c r="H5" s="775" t="str">
        <f>INDEX(Tbl_Neo_BerMedCont,A5,14)</f>
        <v/>
      </c>
      <c r="I5" s="746">
        <f>INDEX(Tbl_Neo_BerMedCont,A5,11)</f>
        <v>0</v>
      </c>
      <c r="J5" s="746" t="str">
        <f>INDEX(Tbl_Neo_BerMedCont,A5,14)&amp;" = "</f>
        <v xml:space="preserve"> = </v>
      </c>
      <c r="K5" s="746">
        <f>INDEX(Tbl_Neo_BerMedCont,A5,12)</f>
        <v>0</v>
      </c>
      <c r="L5" s="746" t="s">
        <v>122</v>
      </c>
      <c r="M5" s="746"/>
      <c r="N5" s="748" t="str">
        <f>IF(B4&lt;&gt;"",IF(B4&gt;0,TRUNC((K5/I5)*G5),0),"")</f>
        <v/>
      </c>
      <c r="O5" s="749" t="str">
        <f>IF(B4&lt;&gt;"",(ROUND((K5/I5)*G5,2)-N5)*100,"")</f>
        <v/>
      </c>
      <c r="P5" s="774" t="s">
        <v>122</v>
      </c>
      <c r="Q5" s="117"/>
    </row>
    <row r="6" spans="1:17" ht="15.75" x14ac:dyDescent="0.25">
      <c r="A6" s="750"/>
      <c r="B6" s="745"/>
      <c r="C6" s="745"/>
      <c r="D6" s="751" t="e">
        <f>B4/10&amp;" ml/uur"</f>
        <v>#VALUE!</v>
      </c>
      <c r="E6" s="752"/>
      <c r="F6" s="752" t="str">
        <f>INDEX(Tbl_Neo_BerMedCont,A5,7)&amp;" "&amp;INDEX(Tbl_Neo_BerMedCont,A5,18)</f>
        <v xml:space="preserve">0 </v>
      </c>
      <c r="G6" s="752"/>
      <c r="H6" s="753"/>
      <c r="I6" s="752" t="s">
        <v>420</v>
      </c>
      <c r="J6" s="754" t="str">
        <f>INDEX(Tbl_Neo_BerMedCont,A5,16)</f>
        <v/>
      </c>
      <c r="K6" s="754"/>
      <c r="L6" s="752"/>
      <c r="M6" s="752"/>
      <c r="N6" s="755" t="str">
        <f>IF(B4&lt;&gt;"",TRUNC(N7+O7/100-N5-O5/100),"")</f>
        <v/>
      </c>
      <c r="O6" s="756" t="str">
        <f>IF(B4&lt;&gt;"",(N7+O7/100-N5-O5/100-N6)*100,"")</f>
        <v/>
      </c>
      <c r="P6" s="774" t="s">
        <v>122</v>
      </c>
      <c r="Q6" s="117"/>
    </row>
    <row r="7" spans="1:17" ht="15.75" x14ac:dyDescent="0.25">
      <c r="A7" s="201"/>
      <c r="B7" s="745"/>
      <c r="C7" s="745"/>
      <c r="D7" s="825" t="s">
        <v>427</v>
      </c>
      <c r="E7" s="757"/>
      <c r="F7" s="758" t="str">
        <f>INDEX(Tbl_Neo_BerMedCont,A5,19)</f>
        <v/>
      </c>
      <c r="G7" s="757"/>
      <c r="H7" s="757"/>
      <c r="I7" s="759"/>
      <c r="J7" s="759"/>
      <c r="K7" s="773" t="s">
        <v>86</v>
      </c>
      <c r="L7" s="759"/>
      <c r="M7" s="759"/>
      <c r="N7" s="760" t="str">
        <f>IF(B4&lt;&gt;"",IF(Var_Neo_InfB_Cont_DubbeleHoev,IF(C4&lt;25,2*TRUNC(C4),TRUNC(C4)),TRUNC(C4)),"")</f>
        <v/>
      </c>
      <c r="O7" s="761" t="str">
        <f>IF(B4&lt;&gt;"",IF(Var_Neo_InfB_Cont_DubbeleHoev,IF(C4&lt;25,(2*C4-N7)*100,(C4-N7)*100),C4-N7),"")</f>
        <v/>
      </c>
      <c r="P7" s="774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62"/>
      <c r="G8" s="166"/>
      <c r="H8" s="166"/>
      <c r="I8" s="166"/>
      <c r="J8" s="166"/>
      <c r="K8" s="167"/>
      <c r="L8" s="166"/>
      <c r="M8" s="166"/>
      <c r="N8" s="763"/>
      <c r="O8" s="764"/>
      <c r="P8" s="117"/>
      <c r="Q8" s="117"/>
    </row>
    <row r="9" spans="1:17" ht="15.75" customHeight="1" x14ac:dyDescent="0.2">
      <c r="A9" s="765"/>
      <c r="B9" s="945" t="s">
        <v>4951</v>
      </c>
      <c r="C9" s="945"/>
      <c r="D9" s="945"/>
      <c r="E9" s="945"/>
      <c r="F9" s="945"/>
      <c r="G9" s="945"/>
      <c r="H9" s="945"/>
      <c r="I9" s="945"/>
      <c r="J9" s="946" t="s">
        <v>5184</v>
      </c>
      <c r="K9" s="946"/>
      <c r="L9" s="946"/>
      <c r="M9" s="946" t="s">
        <v>4952</v>
      </c>
      <c r="N9" s="946"/>
      <c r="O9" s="946" t="s">
        <v>4953</v>
      </c>
      <c r="P9" s="946"/>
      <c r="Q9" s="117"/>
    </row>
    <row r="10" spans="1:17" ht="15.75" customHeight="1" x14ac:dyDescent="0.2">
      <c r="A10" s="765"/>
      <c r="B10" s="947" t="str">
        <f>"Product: "&amp;INDEX(Tbl_Neo_BerMedCont,A5,20)</f>
        <v xml:space="preserve">Product: </v>
      </c>
      <c r="C10" s="947"/>
      <c r="D10" s="947"/>
      <c r="E10" s="947"/>
      <c r="F10" s="947"/>
      <c r="G10" s="947"/>
      <c r="H10" s="947"/>
      <c r="I10" s="947"/>
      <c r="J10" s="947"/>
      <c r="K10" s="947"/>
      <c r="L10" s="947"/>
      <c r="M10" s="947"/>
      <c r="N10" s="947"/>
      <c r="O10" s="947"/>
      <c r="P10" s="947"/>
      <c r="Q10" s="117"/>
    </row>
    <row r="11" spans="1:17" ht="15.75" customHeight="1" x14ac:dyDescent="0.2">
      <c r="A11" s="765"/>
      <c r="B11" s="947"/>
      <c r="C11" s="947"/>
      <c r="D11" s="947"/>
      <c r="E11" s="947"/>
      <c r="F11" s="947"/>
      <c r="G11" s="947"/>
      <c r="H11" s="947"/>
      <c r="I11" s="947"/>
      <c r="J11" s="947"/>
      <c r="K11" s="947"/>
      <c r="L11" s="947"/>
      <c r="M11" s="947"/>
      <c r="N11" s="947"/>
      <c r="O11" s="947"/>
      <c r="P11" s="947"/>
      <c r="Q11" s="117"/>
    </row>
    <row r="12" spans="1:17" ht="9.9499999999999993" customHeight="1" x14ac:dyDescent="0.2">
      <c r="A12" s="765"/>
      <c r="B12" s="947"/>
      <c r="C12" s="947"/>
      <c r="D12" s="947"/>
      <c r="E12" s="947"/>
      <c r="F12" s="947"/>
      <c r="G12" s="947"/>
      <c r="H12" s="947"/>
      <c r="I12" s="947"/>
      <c r="J12" s="947"/>
      <c r="K12" s="947"/>
      <c r="L12" s="947"/>
      <c r="M12" s="947"/>
      <c r="N12" s="947"/>
      <c r="O12" s="947"/>
      <c r="P12" s="947"/>
      <c r="Q12" s="117"/>
    </row>
    <row r="13" spans="1:17" ht="15.75" customHeight="1" x14ac:dyDescent="0.2">
      <c r="A13" s="765"/>
      <c r="B13" s="947" t="str">
        <f>"Oplosmiddel: "&amp;IFERROR( VLOOKUP(J6,Tbl_Glob_ParEnt,14,FALSE),"")</f>
        <v xml:space="preserve">Oplosmiddel: </v>
      </c>
      <c r="C13" s="947"/>
      <c r="D13" s="947"/>
      <c r="E13" s="947"/>
      <c r="F13" s="947"/>
      <c r="G13" s="947"/>
      <c r="H13" s="947"/>
      <c r="I13" s="947"/>
      <c r="J13" s="947"/>
      <c r="K13" s="947"/>
      <c r="L13" s="947"/>
      <c r="M13" s="947"/>
      <c r="N13" s="947"/>
      <c r="O13" s="947"/>
      <c r="P13" s="947"/>
      <c r="Q13" s="117"/>
    </row>
    <row r="14" spans="1:17" ht="15.75" customHeight="1" x14ac:dyDescent="0.2">
      <c r="A14" s="765"/>
      <c r="B14" s="947"/>
      <c r="C14" s="947"/>
      <c r="D14" s="947"/>
      <c r="E14" s="947"/>
      <c r="F14" s="947"/>
      <c r="G14" s="947"/>
      <c r="H14" s="947"/>
      <c r="I14" s="947"/>
      <c r="J14" s="947"/>
      <c r="K14" s="947"/>
      <c r="L14" s="947"/>
      <c r="M14" s="947"/>
      <c r="N14" s="947"/>
      <c r="O14" s="947"/>
      <c r="P14" s="947"/>
      <c r="Q14" s="117"/>
    </row>
    <row r="15" spans="1:17" ht="15.75" customHeight="1" x14ac:dyDescent="0.2">
      <c r="A15" s="765"/>
      <c r="B15" s="947"/>
      <c r="C15" s="947"/>
      <c r="D15" s="947"/>
      <c r="E15" s="947"/>
      <c r="F15" s="947"/>
      <c r="G15" s="947"/>
      <c r="H15" s="947"/>
      <c r="I15" s="947"/>
      <c r="J15" s="947"/>
      <c r="K15" s="947"/>
      <c r="L15" s="947"/>
      <c r="M15" s="947"/>
      <c r="N15" s="947"/>
      <c r="O15" s="947"/>
      <c r="P15" s="947"/>
      <c r="Q15" s="117"/>
    </row>
    <row r="16" spans="1:17" ht="9.9499999999999993" customHeight="1" x14ac:dyDescent="0.2">
      <c r="A16" s="765"/>
      <c r="B16" s="632"/>
      <c r="C16" s="632"/>
      <c r="D16" s="632"/>
      <c r="E16" s="632"/>
      <c r="F16" s="632"/>
      <c r="G16" s="632"/>
      <c r="H16" s="632"/>
      <c r="I16" s="632"/>
      <c r="J16" s="632"/>
      <c r="K16" s="632"/>
      <c r="L16" s="632"/>
      <c r="M16" s="632"/>
      <c r="N16" s="632"/>
      <c r="O16" s="632"/>
      <c r="P16" s="117"/>
      <c r="Q16" s="117"/>
    </row>
    <row r="17" spans="1:17" ht="15.75" x14ac:dyDescent="0.25">
      <c r="A17" s="771" t="str">
        <f>IF(INDEX(Tbl_Neo_BerMedCont,A5,37)&lt;1,1,INDEX(Tbl_Neo_BerMedCont,A5,37))</f>
        <v/>
      </c>
      <c r="B17" s="770" t="str">
        <f>"Aantal spuiten: "&amp;A17</f>
        <v xml:space="preserve">Aantal spuiten: </v>
      </c>
      <c r="C17" s="766"/>
      <c r="D17" s="168"/>
      <c r="E17" s="168"/>
      <c r="F17" s="633"/>
      <c r="G17" s="168"/>
      <c r="H17" s="192"/>
      <c r="I17" s="168"/>
      <c r="J17" s="168"/>
      <c r="K17" s="168"/>
      <c r="L17" s="168"/>
      <c r="M17" s="168"/>
      <c r="N17" s="634"/>
      <c r="O17" s="635"/>
      <c r="P17" s="117"/>
      <c r="Q17" s="117"/>
    </row>
    <row r="18" spans="1:17" ht="15.75" x14ac:dyDescent="0.25">
      <c r="A18" s="765"/>
      <c r="B18" s="633" t="s">
        <v>4928</v>
      </c>
      <c r="C18" s="633"/>
      <c r="D18" s="168"/>
      <c r="E18" s="168"/>
      <c r="F18" s="168"/>
      <c r="G18" s="168"/>
      <c r="H18" s="192"/>
      <c r="I18" s="168"/>
      <c r="J18" s="168"/>
      <c r="K18" s="633"/>
      <c r="L18" s="168"/>
      <c r="M18" s="168"/>
      <c r="N18" s="634"/>
      <c r="O18" s="635"/>
      <c r="P18" s="117"/>
      <c r="Q18" s="117"/>
    </row>
    <row r="19" spans="1:17" ht="14.25" customHeight="1" x14ac:dyDescent="0.2">
      <c r="A19" s="765"/>
      <c r="B19" s="948" t="str">
        <f xml:space="preserve"> IF(INDEX(Tbl_Neo_BerMedCont,A5,23)="","",IF(AND(N5=0,O5&lt;10,D5&lt;&gt;"insuline"),NeoTblMedIV!B30&amp;CHAR(10)&amp;CHAR(10)&amp; INDEX(Tbl_Neo_BerMedCont,A5,23),INDEX(Tbl_Neo_BerMedCont,A5,23)))</f>
        <v/>
      </c>
      <c r="C19" s="948"/>
      <c r="D19" s="948"/>
      <c r="E19" s="948"/>
      <c r="F19" s="948"/>
      <c r="G19" s="948"/>
      <c r="H19" s="948"/>
      <c r="I19" s="948"/>
      <c r="J19" s="948"/>
      <c r="K19" s="948"/>
      <c r="L19" s="948"/>
      <c r="M19" s="948"/>
      <c r="N19" s="948"/>
      <c r="O19" s="948"/>
      <c r="P19" s="948"/>
      <c r="Q19" s="117"/>
    </row>
    <row r="20" spans="1:17" ht="9.9499999999999993" customHeight="1" x14ac:dyDescent="0.2">
      <c r="A20" s="765"/>
      <c r="B20" s="948"/>
      <c r="C20" s="948"/>
      <c r="D20" s="948"/>
      <c r="E20" s="948"/>
      <c r="F20" s="948"/>
      <c r="G20" s="948"/>
      <c r="H20" s="948"/>
      <c r="I20" s="948"/>
      <c r="J20" s="948"/>
      <c r="K20" s="948"/>
      <c r="L20" s="948"/>
      <c r="M20" s="948"/>
      <c r="N20" s="948"/>
      <c r="O20" s="948"/>
      <c r="P20" s="948"/>
      <c r="Q20" s="117"/>
    </row>
    <row r="21" spans="1:17" ht="14.25" customHeight="1" x14ac:dyDescent="0.2">
      <c r="A21" s="765"/>
      <c r="B21" s="948"/>
      <c r="C21" s="948"/>
      <c r="D21" s="948"/>
      <c r="E21" s="948"/>
      <c r="F21" s="948"/>
      <c r="G21" s="948"/>
      <c r="H21" s="948"/>
      <c r="I21" s="948"/>
      <c r="J21" s="948"/>
      <c r="K21" s="948"/>
      <c r="L21" s="948"/>
      <c r="M21" s="948"/>
      <c r="N21" s="948"/>
      <c r="O21" s="948"/>
      <c r="P21" s="948"/>
      <c r="Q21" s="117"/>
    </row>
    <row r="22" spans="1:17" ht="14.25" customHeight="1" x14ac:dyDescent="0.2">
      <c r="A22" s="765"/>
      <c r="B22" s="948"/>
      <c r="C22" s="948"/>
      <c r="D22" s="948"/>
      <c r="E22" s="948"/>
      <c r="F22" s="948"/>
      <c r="G22" s="948"/>
      <c r="H22" s="948"/>
      <c r="I22" s="948"/>
      <c r="J22" s="948"/>
      <c r="K22" s="948"/>
      <c r="L22" s="948"/>
      <c r="M22" s="948"/>
      <c r="N22" s="948"/>
      <c r="O22" s="948"/>
      <c r="P22" s="948"/>
      <c r="Q22" s="117"/>
    </row>
    <row r="23" spans="1:17" ht="14.25" customHeight="1" x14ac:dyDescent="0.2">
      <c r="A23" s="765"/>
      <c r="B23" s="948"/>
      <c r="C23" s="948"/>
      <c r="D23" s="948"/>
      <c r="E23" s="948"/>
      <c r="F23" s="948"/>
      <c r="G23" s="948"/>
      <c r="H23" s="948"/>
      <c r="I23" s="948"/>
      <c r="J23" s="948"/>
      <c r="K23" s="948"/>
      <c r="L23" s="948"/>
      <c r="M23" s="948"/>
      <c r="N23" s="948"/>
      <c r="O23" s="948"/>
      <c r="P23" s="948"/>
      <c r="Q23" s="117"/>
    </row>
    <row r="24" spans="1:17" ht="9.9499999999999993" customHeight="1" x14ac:dyDescent="0.2">
      <c r="A24" s="765"/>
      <c r="B24" s="948"/>
      <c r="C24" s="948"/>
      <c r="D24" s="948"/>
      <c r="E24" s="948"/>
      <c r="F24" s="948"/>
      <c r="G24" s="948"/>
      <c r="H24" s="948"/>
      <c r="I24" s="948"/>
      <c r="J24" s="948"/>
      <c r="K24" s="948"/>
      <c r="L24" s="948"/>
      <c r="M24" s="948"/>
      <c r="N24" s="948"/>
      <c r="O24" s="948"/>
      <c r="P24" s="948"/>
      <c r="Q24" s="117"/>
    </row>
    <row r="25" spans="1:17" ht="14.25" customHeight="1" x14ac:dyDescent="0.2">
      <c r="A25" s="765"/>
      <c r="B25" s="948"/>
      <c r="C25" s="948"/>
      <c r="D25" s="948"/>
      <c r="E25" s="948"/>
      <c r="F25" s="948"/>
      <c r="G25" s="948"/>
      <c r="H25" s="948"/>
      <c r="I25" s="948"/>
      <c r="J25" s="948"/>
      <c r="K25" s="948"/>
      <c r="L25" s="948"/>
      <c r="M25" s="948"/>
      <c r="N25" s="948"/>
      <c r="O25" s="948"/>
      <c r="P25" s="948"/>
      <c r="Q25" s="117"/>
    </row>
    <row r="26" spans="1:17" ht="14.25" customHeight="1" x14ac:dyDescent="0.2">
      <c r="A26" s="765"/>
      <c r="B26" s="948"/>
      <c r="C26" s="948"/>
      <c r="D26" s="948"/>
      <c r="E26" s="948"/>
      <c r="F26" s="948"/>
      <c r="G26" s="948"/>
      <c r="H26" s="948"/>
      <c r="I26" s="948"/>
      <c r="J26" s="948"/>
      <c r="K26" s="948"/>
      <c r="L26" s="948"/>
      <c r="M26" s="948"/>
      <c r="N26" s="948"/>
      <c r="O26" s="948"/>
      <c r="P26" s="948"/>
      <c r="Q26" s="117"/>
    </row>
    <row r="27" spans="1:17" ht="14.25" customHeight="1" x14ac:dyDescent="0.2">
      <c r="A27" s="765"/>
      <c r="B27" s="948"/>
      <c r="C27" s="948"/>
      <c r="D27" s="948"/>
      <c r="E27" s="948"/>
      <c r="F27" s="948"/>
      <c r="G27" s="948"/>
      <c r="H27" s="948"/>
      <c r="I27" s="948"/>
      <c r="J27" s="948"/>
      <c r="K27" s="948"/>
      <c r="L27" s="948"/>
      <c r="M27" s="948"/>
      <c r="N27" s="948"/>
      <c r="O27" s="948"/>
      <c r="P27" s="948"/>
      <c r="Q27" s="117"/>
    </row>
    <row r="28" spans="1:17" ht="9.9499999999999993" customHeight="1" x14ac:dyDescent="0.2">
      <c r="A28" s="765"/>
      <c r="B28" s="948"/>
      <c r="C28" s="948"/>
      <c r="D28" s="948"/>
      <c r="E28" s="948"/>
      <c r="F28" s="948"/>
      <c r="G28" s="948"/>
      <c r="H28" s="948"/>
      <c r="I28" s="948"/>
      <c r="J28" s="948"/>
      <c r="K28" s="948"/>
      <c r="L28" s="948"/>
      <c r="M28" s="948"/>
      <c r="N28" s="948"/>
      <c r="O28" s="948"/>
      <c r="P28" s="948"/>
      <c r="Q28" s="117"/>
    </row>
    <row r="29" spans="1:17" ht="14.25" customHeight="1" x14ac:dyDescent="0.2">
      <c r="A29" s="765"/>
      <c r="B29" s="948"/>
      <c r="C29" s="948"/>
      <c r="D29" s="948"/>
      <c r="E29" s="948"/>
      <c r="F29" s="948"/>
      <c r="G29" s="948"/>
      <c r="H29" s="948"/>
      <c r="I29" s="948"/>
      <c r="J29" s="948"/>
      <c r="K29" s="948"/>
      <c r="L29" s="948"/>
      <c r="M29" s="948"/>
      <c r="N29" s="948"/>
      <c r="O29" s="948"/>
      <c r="P29" s="948"/>
      <c r="Q29" s="117"/>
    </row>
    <row r="30" spans="1:17" ht="14.25" customHeight="1" x14ac:dyDescent="0.2">
      <c r="A30" s="765"/>
      <c r="B30" s="948"/>
      <c r="C30" s="948"/>
      <c r="D30" s="948"/>
      <c r="E30" s="948"/>
      <c r="F30" s="948"/>
      <c r="G30" s="948"/>
      <c r="H30" s="948"/>
      <c r="I30" s="948"/>
      <c r="J30" s="948"/>
      <c r="K30" s="948"/>
      <c r="L30" s="948"/>
      <c r="M30" s="948"/>
      <c r="N30" s="948"/>
      <c r="O30" s="948"/>
      <c r="P30" s="948"/>
      <c r="Q30" s="117"/>
    </row>
    <row r="31" spans="1:17" ht="14.25" customHeight="1" x14ac:dyDescent="0.2">
      <c r="A31" s="765"/>
      <c r="B31" s="948"/>
      <c r="C31" s="948"/>
      <c r="D31" s="948"/>
      <c r="E31" s="948"/>
      <c r="F31" s="948"/>
      <c r="G31" s="948"/>
      <c r="H31" s="948"/>
      <c r="I31" s="948"/>
      <c r="J31" s="948"/>
      <c r="K31" s="948"/>
      <c r="L31" s="948"/>
      <c r="M31" s="948"/>
      <c r="N31" s="948"/>
      <c r="O31" s="948"/>
      <c r="P31" s="948"/>
      <c r="Q31" s="117"/>
    </row>
    <row r="32" spans="1:17" ht="9.9499999999999993" customHeight="1" x14ac:dyDescent="0.2">
      <c r="A32" s="765"/>
      <c r="B32" s="948"/>
      <c r="C32" s="948"/>
      <c r="D32" s="948"/>
      <c r="E32" s="948"/>
      <c r="F32" s="948"/>
      <c r="G32" s="948"/>
      <c r="H32" s="948"/>
      <c r="I32" s="948"/>
      <c r="J32" s="948"/>
      <c r="K32" s="948"/>
      <c r="L32" s="948"/>
      <c r="M32" s="948"/>
      <c r="N32" s="948"/>
      <c r="O32" s="948"/>
      <c r="P32" s="948"/>
      <c r="Q32" s="117"/>
    </row>
    <row r="33" spans="1:17" ht="14.25" customHeight="1" x14ac:dyDescent="0.2">
      <c r="A33" s="765"/>
      <c r="B33" s="948"/>
      <c r="C33" s="948"/>
      <c r="D33" s="948"/>
      <c r="E33" s="948"/>
      <c r="F33" s="948"/>
      <c r="G33" s="948"/>
      <c r="H33" s="948"/>
      <c r="I33" s="948"/>
      <c r="J33" s="948"/>
      <c r="K33" s="948"/>
      <c r="L33" s="948"/>
      <c r="M33" s="948"/>
      <c r="N33" s="948"/>
      <c r="O33" s="948"/>
      <c r="P33" s="948"/>
      <c r="Q33" s="117"/>
    </row>
    <row r="34" spans="1:17" ht="14.25" customHeight="1" x14ac:dyDescent="0.2">
      <c r="A34" s="765"/>
      <c r="B34" s="948"/>
      <c r="C34" s="948"/>
      <c r="D34" s="948"/>
      <c r="E34" s="948"/>
      <c r="F34" s="948"/>
      <c r="G34" s="948"/>
      <c r="H34" s="948"/>
      <c r="I34" s="948"/>
      <c r="J34" s="948"/>
      <c r="K34" s="948"/>
      <c r="L34" s="948"/>
      <c r="M34" s="948"/>
      <c r="N34" s="948"/>
      <c r="O34" s="948"/>
      <c r="P34" s="948"/>
      <c r="Q34" s="117"/>
    </row>
    <row r="35" spans="1:17" ht="14.25" customHeight="1" x14ac:dyDescent="0.2">
      <c r="A35" s="765"/>
      <c r="B35" s="948"/>
      <c r="C35" s="948"/>
      <c r="D35" s="948"/>
      <c r="E35" s="948"/>
      <c r="F35" s="948"/>
      <c r="G35" s="948"/>
      <c r="H35" s="948"/>
      <c r="I35" s="948"/>
      <c r="J35" s="948"/>
      <c r="K35" s="948"/>
      <c r="L35" s="948"/>
      <c r="M35" s="948"/>
      <c r="N35" s="948"/>
      <c r="O35" s="948"/>
      <c r="P35" s="948"/>
      <c r="Q35" s="117"/>
    </row>
    <row r="36" spans="1:17" ht="9.9499999999999993" customHeight="1" x14ac:dyDescent="0.2">
      <c r="A36" s="765"/>
      <c r="B36" s="948"/>
      <c r="C36" s="948"/>
      <c r="D36" s="948"/>
      <c r="E36" s="948"/>
      <c r="F36" s="948"/>
      <c r="G36" s="948"/>
      <c r="H36" s="948"/>
      <c r="I36" s="948"/>
      <c r="J36" s="948"/>
      <c r="K36" s="948"/>
      <c r="L36" s="948"/>
      <c r="M36" s="948"/>
      <c r="N36" s="948"/>
      <c r="O36" s="948"/>
      <c r="P36" s="948"/>
      <c r="Q36" s="117"/>
    </row>
    <row r="37" spans="1:17" ht="14.25" customHeight="1" x14ac:dyDescent="0.2">
      <c r="A37" s="765"/>
      <c r="B37" s="948"/>
      <c r="C37" s="948"/>
      <c r="D37" s="948"/>
      <c r="E37" s="948"/>
      <c r="F37" s="948"/>
      <c r="G37" s="948"/>
      <c r="H37" s="948"/>
      <c r="I37" s="948"/>
      <c r="J37" s="948"/>
      <c r="K37" s="948"/>
      <c r="L37" s="948"/>
      <c r="M37" s="948"/>
      <c r="N37" s="948"/>
      <c r="O37" s="948"/>
      <c r="P37" s="948"/>
      <c r="Q37" s="117"/>
    </row>
    <row r="38" spans="1:17" ht="14.25" customHeight="1" x14ac:dyDescent="0.2">
      <c r="A38" s="765"/>
      <c r="B38" s="948"/>
      <c r="C38" s="948"/>
      <c r="D38" s="948"/>
      <c r="E38" s="948"/>
      <c r="F38" s="948"/>
      <c r="G38" s="948"/>
      <c r="H38" s="948"/>
      <c r="I38" s="948"/>
      <c r="J38" s="948"/>
      <c r="K38" s="948"/>
      <c r="L38" s="948"/>
      <c r="M38" s="948"/>
      <c r="N38" s="948"/>
      <c r="O38" s="948"/>
      <c r="P38" s="948"/>
      <c r="Q38" s="117"/>
    </row>
    <row r="39" spans="1:17" ht="14.25" customHeight="1" x14ac:dyDescent="0.2">
      <c r="A39" s="765"/>
      <c r="B39" s="948"/>
      <c r="C39" s="948"/>
      <c r="D39" s="948"/>
      <c r="E39" s="948"/>
      <c r="F39" s="948"/>
      <c r="G39" s="948"/>
      <c r="H39" s="948"/>
      <c r="I39" s="948"/>
      <c r="J39" s="948"/>
      <c r="K39" s="948"/>
      <c r="L39" s="948"/>
      <c r="M39" s="948"/>
      <c r="N39" s="948"/>
      <c r="O39" s="948"/>
      <c r="P39" s="948"/>
      <c r="Q39" s="117"/>
    </row>
    <row r="40" spans="1:17" ht="9.75" customHeight="1" x14ac:dyDescent="0.2">
      <c r="A40" s="765"/>
      <c r="B40" s="948"/>
      <c r="C40" s="948"/>
      <c r="D40" s="948"/>
      <c r="E40" s="948"/>
      <c r="F40" s="948"/>
      <c r="G40" s="948"/>
      <c r="H40" s="948"/>
      <c r="I40" s="948"/>
      <c r="J40" s="948"/>
      <c r="K40" s="948"/>
      <c r="L40" s="948"/>
      <c r="M40" s="948"/>
      <c r="N40" s="948"/>
      <c r="O40" s="948"/>
      <c r="P40" s="948"/>
      <c r="Q40" s="117"/>
    </row>
    <row r="41" spans="1:17" ht="14.25" customHeight="1" x14ac:dyDescent="0.2">
      <c r="A41" s="765"/>
      <c r="B41" s="948"/>
      <c r="C41" s="948"/>
      <c r="D41" s="948"/>
      <c r="E41" s="948"/>
      <c r="F41" s="948"/>
      <c r="G41" s="948"/>
      <c r="H41" s="948"/>
      <c r="I41" s="948"/>
      <c r="J41" s="948"/>
      <c r="K41" s="948"/>
      <c r="L41" s="948"/>
      <c r="M41" s="948"/>
      <c r="N41" s="948"/>
      <c r="O41" s="948"/>
      <c r="P41" s="948"/>
      <c r="Q41" s="117"/>
    </row>
    <row r="42" spans="1:17" ht="14.25" customHeight="1" x14ac:dyDescent="0.2">
      <c r="A42" s="765"/>
      <c r="B42" s="948"/>
      <c r="C42" s="948"/>
      <c r="D42" s="948"/>
      <c r="E42" s="948"/>
      <c r="F42" s="948"/>
      <c r="G42" s="948"/>
      <c r="H42" s="948"/>
      <c r="I42" s="948"/>
      <c r="J42" s="948"/>
      <c r="K42" s="948"/>
      <c r="L42" s="948"/>
      <c r="M42" s="948"/>
      <c r="N42" s="948"/>
      <c r="O42" s="948"/>
      <c r="P42" s="948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69">
        <v>0</v>
      </c>
      <c r="K44" s="769">
        <v>1</v>
      </c>
      <c r="Q44" s="769">
        <v>2</v>
      </c>
    </row>
    <row r="45" spans="1:17" s="158" customFormat="1" ht="12" customHeight="1" x14ac:dyDescent="0.2">
      <c r="A45" s="949">
        <f ca="1">IF(E44&lt;=$A$17,TODAY(),"")</f>
        <v>43002</v>
      </c>
      <c r="B45" s="949"/>
      <c r="C45" s="950">
        <f>IF(E44&lt;=$A$17,$O$1,"")</f>
        <v>0</v>
      </c>
      <c r="D45" s="950"/>
      <c r="F45" s="125"/>
      <c r="G45" s="949">
        <f ca="1">IF(K44&lt;=$A$17,TODAY(),"")</f>
        <v>43002</v>
      </c>
      <c r="H45" s="949"/>
      <c r="I45" s="950">
        <f>IF(K44&lt;=$A$17,$O$1,"")</f>
        <v>0</v>
      </c>
      <c r="J45" s="950"/>
      <c r="L45" s="125"/>
      <c r="M45" s="949">
        <f ca="1">IF(Q44&lt;=$A$17,TODAY(),"")</f>
        <v>43002</v>
      </c>
      <c r="N45" s="949"/>
      <c r="O45" s="950">
        <f>IF(Q44&lt;=$A$17,$O$1,"")</f>
        <v>0</v>
      </c>
      <c r="P45" s="950"/>
    </row>
    <row r="46" spans="1:17" ht="12" customHeight="1" x14ac:dyDescent="0.2">
      <c r="A46" s="935" t="str">
        <f>IF(E44&lt;=$A$17,$D$2&amp;" "&amp;__0_PatNum,"")</f>
        <v xml:space="preserve">  </v>
      </c>
      <c r="B46" s="935"/>
      <c r="C46" s="935"/>
      <c r="D46" s="935"/>
      <c r="E46" s="935"/>
      <c r="F46" s="125"/>
      <c r="G46" s="935" t="str">
        <f>IF(K44&lt;=$A$17,$D$2&amp;" "&amp;__0_PatNum,"")</f>
        <v xml:space="preserve">  </v>
      </c>
      <c r="H46" s="935"/>
      <c r="I46" s="935"/>
      <c r="J46" s="935"/>
      <c r="K46" s="935"/>
      <c r="L46" s="125"/>
      <c r="M46" s="935" t="str">
        <f>IF(Q44&lt;=$A$17,$D$2&amp;" "&amp;__0_PatNum,"")</f>
        <v xml:space="preserve">  </v>
      </c>
      <c r="N46" s="935"/>
      <c r="O46" s="935"/>
      <c r="P46" s="935"/>
      <c r="Q46" s="935"/>
    </row>
    <row r="47" spans="1:17" ht="12" customHeight="1" x14ac:dyDescent="0.2">
      <c r="A47" s="950" t="str">
        <f>IF(E44&lt;=$A$17,$D$5&amp;" "&amp;IF(Var_Neo_InfB_Cont_DubbeleHoev,$G$5/2,$G$5)&amp;" "&amp;$H$5,"")</f>
        <v xml:space="preserve"> 0 </v>
      </c>
      <c r="B47" s="950"/>
      <c r="C47" s="950"/>
      <c r="D47" s="950"/>
      <c r="E47" s="950"/>
      <c r="F47" s="125"/>
      <c r="G47" s="950" t="str">
        <f>IF(K44&lt;=$A$17,$D$5&amp;" "&amp;IF(Var_Neo_InfB_Cont_DubbeleHoev,$G$5/2,$G$5)&amp;" "&amp;$H$5,"")</f>
        <v xml:space="preserve"> 0 </v>
      </c>
      <c r="H47" s="950"/>
      <c r="I47" s="950"/>
      <c r="J47" s="950"/>
      <c r="K47" s="950"/>
      <c r="L47" s="125"/>
      <c r="M47" s="950" t="str">
        <f>IF(Q44&lt;=$A$17,$D$5&amp;" "&amp;IF(Var_Neo_InfB_Cont_DubbeleHoev,$G$5/2,$G$5)&amp;" "&amp;$H$5,"")</f>
        <v xml:space="preserve"> 0 </v>
      </c>
      <c r="N47" s="950"/>
      <c r="O47" s="950"/>
      <c r="P47" s="950"/>
      <c r="Q47" s="950"/>
    </row>
    <row r="48" spans="1:17" ht="12" customHeight="1" x14ac:dyDescent="0.2">
      <c r="A48" s="950" t="e">
        <f>IF(E44&lt;=$A$17,$I$6&amp;" "&amp;IF(Var_Neo_InfB_Cont_DubbeleHoev,($N$7+$O$7/10)/2,$N$7+$O$7/10)&amp;" ml "&amp;$J$6&amp;" "&amp;$K$6,"")</f>
        <v>#VALUE!</v>
      </c>
      <c r="B48" s="950"/>
      <c r="C48" s="950"/>
      <c r="D48" s="951" t="str">
        <f>IF(E44&lt;=$A$17,"(12 ml extra)","")</f>
        <v>(12 ml extra)</v>
      </c>
      <c r="E48" s="951"/>
      <c r="F48" s="125"/>
      <c r="G48" s="950" t="e">
        <f>IF(K44&lt;=$A$17,$I$6&amp;" "&amp;IF(Var_Neo_InfB_Cont_DubbeleHoev,($N$7+$O$7/10)/2,$N$7+$O$7/10)&amp;" ml "&amp;$J$6&amp;" "&amp;$K$6,"")</f>
        <v>#VALUE!</v>
      </c>
      <c r="H48" s="950"/>
      <c r="I48" s="950"/>
      <c r="J48" s="951" t="str">
        <f>IF(K44&lt;=$A$17,"(12 ml extra)","")</f>
        <v>(12 ml extra)</v>
      </c>
      <c r="K48" s="951"/>
      <c r="L48" s="125"/>
      <c r="M48" s="950" t="e">
        <f>IF(Q44&lt;=$A$17,$I$6&amp;" "&amp;IF(Var_Neo_InfB_Cont_DubbeleHoev,($N$7+$O$7/10)/2,$N$7+$O$7/10)&amp;" ml "&amp;$J$6&amp;" "&amp;$K$6,"")</f>
        <v>#VALUE!</v>
      </c>
      <c r="N48" s="950"/>
      <c r="O48" s="950"/>
      <c r="P48" s="951" t="str">
        <f>IF(Q44&lt;=$A$17,"(12 ml extra)","")</f>
        <v>(12 ml extra)</v>
      </c>
      <c r="Q48" s="951"/>
    </row>
    <row r="49" spans="1:17" ht="12" customHeight="1" x14ac:dyDescent="0.2">
      <c r="A49" s="950" t="e">
        <f>IF(E44&lt;=$A$17,$D$6,"")</f>
        <v>#VALUE!</v>
      </c>
      <c r="B49" s="950"/>
      <c r="C49" s="951" t="str">
        <f>IF(E44&lt;=$A$17,$F$6,"")</f>
        <v xml:space="preserve">0 </v>
      </c>
      <c r="D49" s="951"/>
      <c r="E49" s="951"/>
      <c r="F49" s="125"/>
      <c r="G49" s="950" t="e">
        <f>IF(K44&lt;=$A$17,$D$6,"")</f>
        <v>#VALUE!</v>
      </c>
      <c r="H49" s="950"/>
      <c r="I49" s="951" t="str">
        <f>IF(K44&lt;=$A$17,$F$6,"")</f>
        <v xml:space="preserve">0 </v>
      </c>
      <c r="J49" s="951"/>
      <c r="K49" s="951"/>
      <c r="L49" s="125"/>
      <c r="M49" s="950" t="e">
        <f>IF(Q44&lt;=$A$17,$D$6,"")</f>
        <v>#VALUE!</v>
      </c>
      <c r="N49" s="950"/>
      <c r="O49" s="951" t="str">
        <f>IF(Q44&lt;=$A$17,$F$6,"")</f>
        <v xml:space="preserve">0 </v>
      </c>
      <c r="P49" s="951"/>
      <c r="Q49" s="951"/>
    </row>
    <row r="50" spans="1:17" ht="12" customHeight="1" x14ac:dyDescent="0.2">
      <c r="A50" s="125"/>
      <c r="B50" s="125"/>
      <c r="C50" s="125" t="str">
        <f>IF(E44&lt;=$A$17,"Exp:","")</f>
        <v>Exp:</v>
      </c>
      <c r="D50" s="952">
        <f ca="1">IF(E44&lt;=$A$17,TODAY()+1,"")</f>
        <v>43003</v>
      </c>
      <c r="E50" s="952"/>
      <c r="F50" s="125"/>
      <c r="G50" s="125"/>
      <c r="H50" s="125"/>
      <c r="I50" s="125" t="str">
        <f>IF(K44&lt;=$A$17,"Exp:","")</f>
        <v>Exp:</v>
      </c>
      <c r="J50" s="952">
        <f ca="1">IF(K44&lt;=$A$17,TODAY()+1,"")</f>
        <v>43003</v>
      </c>
      <c r="K50" s="952"/>
      <c r="L50" s="767"/>
      <c r="M50" s="125"/>
      <c r="N50" s="125"/>
      <c r="O50" s="125" t="str">
        <f>IF(Q44&lt;=$A$17,"Exp:","")</f>
        <v>Exp:</v>
      </c>
      <c r="P50" s="952">
        <f ca="1">IF(Q44&lt;=$A$17,TODAY()+1,"")</f>
        <v>43003</v>
      </c>
      <c r="Q50" s="952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69">
        <v>3</v>
      </c>
      <c r="F55" s="125"/>
      <c r="G55" s="125"/>
      <c r="H55" s="125"/>
      <c r="I55" s="125"/>
      <c r="J55" s="125"/>
      <c r="K55" s="769">
        <v>4</v>
      </c>
      <c r="L55" s="125"/>
      <c r="M55" s="125"/>
      <c r="N55" s="125"/>
      <c r="O55" s="125"/>
      <c r="P55" s="125"/>
      <c r="Q55" s="769">
        <v>5</v>
      </c>
    </row>
    <row r="56" spans="1:17" ht="12" customHeight="1" x14ac:dyDescent="0.2">
      <c r="A56" s="949">
        <f ca="1">IF(E55&lt;=$A$17,TODAY(),"")</f>
        <v>43002</v>
      </c>
      <c r="B56" s="949"/>
      <c r="C56" s="950">
        <f>IF(E55&lt;=$A$17,$O$1,"")</f>
        <v>0</v>
      </c>
      <c r="D56" s="950"/>
      <c r="F56" s="125"/>
      <c r="G56" s="949">
        <f ca="1">IF(K55&lt;=$A$17,TODAY(),"")</f>
        <v>43002</v>
      </c>
      <c r="H56" s="949"/>
      <c r="I56" s="950">
        <f>IF(K55&lt;=$A$17,$O$1,"")</f>
        <v>0</v>
      </c>
      <c r="J56" s="950"/>
      <c r="L56" s="125"/>
      <c r="M56" s="949">
        <f ca="1">IF(Q55&lt;=$A$17,TODAY(),"")</f>
        <v>43002</v>
      </c>
      <c r="N56" s="949"/>
      <c r="O56" s="950">
        <f>IF(Q55&lt;=$A$17,$O$1,"")</f>
        <v>0</v>
      </c>
      <c r="P56" s="950"/>
    </row>
    <row r="57" spans="1:17" ht="12" customHeight="1" x14ac:dyDescent="0.2">
      <c r="A57" s="935" t="str">
        <f>IF(E55&lt;=$A$17,$D$2&amp;" "&amp;__0_PatNum,"")</f>
        <v xml:space="preserve">  </v>
      </c>
      <c r="B57" s="935"/>
      <c r="C57" s="935"/>
      <c r="D57" s="935"/>
      <c r="E57" s="935"/>
      <c r="F57" s="125"/>
      <c r="G57" s="935" t="str">
        <f>IF(K55&lt;=$A$17,$D$2&amp;" "&amp;__0_PatNum,"")</f>
        <v xml:space="preserve">  </v>
      </c>
      <c r="H57" s="935"/>
      <c r="I57" s="935"/>
      <c r="J57" s="935"/>
      <c r="K57" s="935"/>
      <c r="L57" s="125"/>
      <c r="M57" s="935" t="str">
        <f>IF(Q55&lt;=$A$17,$D$2&amp;" "&amp;__0_PatNum,"")</f>
        <v xml:space="preserve">  </v>
      </c>
      <c r="N57" s="935"/>
      <c r="O57" s="935"/>
      <c r="P57" s="935"/>
      <c r="Q57" s="935"/>
    </row>
    <row r="58" spans="1:17" ht="12" customHeight="1" x14ac:dyDescent="0.2">
      <c r="A58" s="950" t="str">
        <f>IF(E55&lt;=$A$17,$D$5&amp;" "&amp;IF(Var_Neo_InfB_Cont_DubbeleHoev,$G$5/2,$G$5)&amp;" "&amp;$H$5,"")</f>
        <v xml:space="preserve"> 0 </v>
      </c>
      <c r="B58" s="950"/>
      <c r="C58" s="950"/>
      <c r="D58" s="950"/>
      <c r="E58" s="950"/>
      <c r="F58" s="125"/>
      <c r="G58" s="950" t="str">
        <f>IF(K55&lt;=$A$17,$D$5&amp;" "&amp;IF(Var_Neo_InfB_Cont_DubbeleHoev,$G$5/2,$G$5)&amp;" "&amp;$H$5,"")</f>
        <v xml:space="preserve"> 0 </v>
      </c>
      <c r="H58" s="950"/>
      <c r="I58" s="950"/>
      <c r="J58" s="950"/>
      <c r="K58" s="950"/>
      <c r="L58" s="125"/>
      <c r="M58" s="950" t="str">
        <f>IF(Q55&lt;=$A$17,$D$5&amp;" "&amp;IF(Var_Neo_InfB_Cont_DubbeleHoev,$G$5/2,$G$5)&amp;" "&amp;$H$5,"")</f>
        <v xml:space="preserve"> 0 </v>
      </c>
      <c r="N58" s="950"/>
      <c r="O58" s="950"/>
      <c r="P58" s="950"/>
      <c r="Q58" s="950"/>
    </row>
    <row r="59" spans="1:17" ht="12" customHeight="1" x14ac:dyDescent="0.2">
      <c r="A59" s="950" t="e">
        <f>IF(E55&lt;=$A$17,$I$6&amp;" "&amp;IF(Var_Neo_InfB_Cont_DubbeleHoev,($N$7+$O$7/10)/2,$N$7+$O$7/10)&amp;" ml "&amp;$J$6&amp;" "&amp;$K$6,"")</f>
        <v>#VALUE!</v>
      </c>
      <c r="B59" s="950"/>
      <c r="C59" s="950"/>
      <c r="D59" s="951" t="str">
        <f>IF(E55&lt;=$A$17,"(12 ml extra)","")</f>
        <v>(12 ml extra)</v>
      </c>
      <c r="E59" s="951"/>
      <c r="F59" s="125"/>
      <c r="G59" s="950" t="e">
        <f>IF(K55&lt;=$A$17,$I$6&amp;" "&amp;IF(Var_Neo_InfB_Cont_DubbeleHoev,($N$7+$O$7/10)/2,$N$7+$O$7/10)&amp;" ml "&amp;$J$6&amp;" "&amp;$K$6,"")</f>
        <v>#VALUE!</v>
      </c>
      <c r="H59" s="950"/>
      <c r="I59" s="950"/>
      <c r="J59" s="951" t="str">
        <f>IF(K55&lt;=$A$17,"(12 ml extra)","")</f>
        <v>(12 ml extra)</v>
      </c>
      <c r="K59" s="951"/>
      <c r="L59" s="125"/>
      <c r="M59" s="950" t="e">
        <f>IF(Q55&lt;=$A$17,$I$6&amp;" "&amp;IF(Var_Neo_InfB_Cont_DubbeleHoev,($N$7+$O$7/10)/2,$N$7+$O$7/10)&amp;" ml "&amp;$J$6&amp;" "&amp;$K$6,"")</f>
        <v>#VALUE!</v>
      </c>
      <c r="N59" s="950"/>
      <c r="O59" s="950"/>
      <c r="P59" s="951" t="str">
        <f>IF(Q55&lt;=$A$17,"(12 ml extra)","")</f>
        <v>(12 ml extra)</v>
      </c>
      <c r="Q59" s="951"/>
    </row>
    <row r="60" spans="1:17" ht="12" customHeight="1" x14ac:dyDescent="0.2">
      <c r="A60" s="950" t="e">
        <f>IF(E55&lt;=$A$17,$D$6,"")</f>
        <v>#VALUE!</v>
      </c>
      <c r="B60" s="950"/>
      <c r="C60" s="951" t="str">
        <f>IF(E55&lt;=$A$17,$F$6,"")</f>
        <v xml:space="preserve">0 </v>
      </c>
      <c r="D60" s="951"/>
      <c r="E60" s="951"/>
      <c r="F60" s="125"/>
      <c r="G60" s="950" t="e">
        <f>IF(K55&lt;=$A$17,$D$6,"")</f>
        <v>#VALUE!</v>
      </c>
      <c r="H60" s="950"/>
      <c r="I60" s="951" t="str">
        <f>IF(K55&lt;=$A$17,$F$6,"")</f>
        <v xml:space="preserve">0 </v>
      </c>
      <c r="J60" s="951"/>
      <c r="K60" s="951"/>
      <c r="L60" s="125"/>
      <c r="M60" s="950" t="e">
        <f>IF(Q55&lt;=$A$17,$D$6,"")</f>
        <v>#VALUE!</v>
      </c>
      <c r="N60" s="950"/>
      <c r="O60" s="951" t="str">
        <f>IF(Q55&lt;=$A$17,$F$6,"")</f>
        <v xml:space="preserve">0 </v>
      </c>
      <c r="P60" s="951"/>
      <c r="Q60" s="951"/>
    </row>
    <row r="61" spans="1:17" ht="12" customHeight="1" x14ac:dyDescent="0.2">
      <c r="A61" s="950"/>
      <c r="B61" s="950"/>
      <c r="C61" s="125" t="str">
        <f>IF(E55&lt;=$A$17,"Exp:","")</f>
        <v>Exp:</v>
      </c>
      <c r="D61" s="952">
        <f ca="1">IF(E55&lt;=$A$17,TODAY()+1,"")</f>
        <v>43003</v>
      </c>
      <c r="E61" s="952"/>
      <c r="F61" s="767"/>
      <c r="G61" s="950"/>
      <c r="H61" s="950"/>
      <c r="I61" s="125" t="str">
        <f>IF(K55&lt;=$A$17,"Exp:","")</f>
        <v>Exp:</v>
      </c>
      <c r="J61" s="952">
        <f ca="1">IF(K55&lt;=$A$17,TODAY()+1,"")</f>
        <v>43003</v>
      </c>
      <c r="K61" s="952"/>
      <c r="L61" s="767"/>
      <c r="M61" s="950"/>
      <c r="N61" s="950"/>
      <c r="O61" s="125" t="str">
        <f>IF(Q55&lt;=$A$17,"Exp:","")</f>
        <v>Exp:</v>
      </c>
      <c r="P61" s="952">
        <f ca="1">IF(Q55&lt;=$A$17,TODAY()+1,"")</f>
        <v>43003</v>
      </c>
      <c r="Q61" s="952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73" customWidth="1"/>
    <col min="23" max="32" width="2.7109375" style="568" customWidth="1"/>
    <col min="33" max="16384" width="9.140625" style="208"/>
  </cols>
  <sheetData>
    <row r="1" spans="1:32" x14ac:dyDescent="0.2">
      <c r="G1" s="573">
        <v>27</v>
      </c>
      <c r="H1" s="573">
        <v>28</v>
      </c>
      <c r="I1" s="573">
        <v>29</v>
      </c>
      <c r="J1" s="573">
        <v>30</v>
      </c>
      <c r="K1" s="573">
        <v>31</v>
      </c>
      <c r="L1" s="573">
        <v>32</v>
      </c>
      <c r="M1" s="573">
        <v>33</v>
      </c>
      <c r="N1" s="573">
        <v>34</v>
      </c>
      <c r="O1" s="573">
        <v>35</v>
      </c>
      <c r="P1" s="573">
        <v>36</v>
      </c>
      <c r="Q1" s="573">
        <v>37</v>
      </c>
      <c r="R1" s="573">
        <v>38</v>
      </c>
      <c r="S1" s="573">
        <v>39</v>
      </c>
      <c r="T1" s="573">
        <v>40</v>
      </c>
      <c r="U1" s="573">
        <v>41</v>
      </c>
      <c r="V1" s="573">
        <v>42</v>
      </c>
      <c r="W1" s="573">
        <v>43</v>
      </c>
      <c r="X1" s="573">
        <v>44</v>
      </c>
      <c r="Y1" s="573">
        <v>45</v>
      </c>
      <c r="Z1" s="573">
        <v>46</v>
      </c>
      <c r="AA1" s="573">
        <v>47</v>
      </c>
      <c r="AB1" s="573">
        <v>48</v>
      </c>
      <c r="AC1" s="573">
        <v>49</v>
      </c>
      <c r="AD1" s="573">
        <v>50</v>
      </c>
      <c r="AE1" s="573"/>
      <c r="AF1" s="573"/>
    </row>
    <row r="2" spans="1:32" ht="19.5" customHeight="1" thickBot="1" x14ac:dyDescent="0.25">
      <c r="A2" s="236"/>
      <c r="B2" s="208" t="str">
        <f>Txt_Pat_FullName</f>
        <v/>
      </c>
      <c r="E2" s="861" t="str">
        <f ca="1">Txt_Pat_GeboorteDat</f>
        <v/>
      </c>
      <c r="F2" s="861"/>
      <c r="G2" s="267" t="str">
        <f>Txt_Pat_Gewicht</f>
        <v>Gewicht:</v>
      </c>
      <c r="H2" s="574"/>
      <c r="O2" s="574" t="s">
        <v>138</v>
      </c>
      <c r="Q2" s="859"/>
      <c r="R2" s="859"/>
      <c r="S2" s="859"/>
      <c r="T2" s="859"/>
      <c r="U2" s="859"/>
      <c r="V2" s="859"/>
      <c r="X2" s="568" t="s">
        <v>235</v>
      </c>
      <c r="AA2" s="860">
        <f ca="1">TODAY()</f>
        <v>43002</v>
      </c>
      <c r="AB2" s="860"/>
      <c r="AC2" s="860"/>
      <c r="AD2" s="860"/>
      <c r="AE2" s="86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9</v>
      </c>
      <c r="H3" s="575">
        <v>10</v>
      </c>
      <c r="I3" s="575">
        <v>11</v>
      </c>
      <c r="J3" s="575">
        <v>12</v>
      </c>
      <c r="K3" s="575">
        <v>13</v>
      </c>
      <c r="L3" s="575">
        <v>14</v>
      </c>
      <c r="M3" s="575">
        <v>15</v>
      </c>
      <c r="N3" s="575">
        <v>16</v>
      </c>
      <c r="O3" s="575">
        <v>17</v>
      </c>
      <c r="P3" s="575">
        <v>18</v>
      </c>
      <c r="Q3" s="576">
        <v>19</v>
      </c>
      <c r="R3" s="576">
        <v>20</v>
      </c>
      <c r="S3" s="576">
        <v>21</v>
      </c>
      <c r="T3" s="576">
        <v>22</v>
      </c>
      <c r="U3" s="576">
        <v>23</v>
      </c>
      <c r="V3" s="576">
        <v>24</v>
      </c>
      <c r="W3" s="575">
        <v>1</v>
      </c>
      <c r="X3" s="575">
        <v>2</v>
      </c>
      <c r="Y3" s="575">
        <v>3</v>
      </c>
      <c r="Z3" s="575">
        <v>4</v>
      </c>
      <c r="AA3" s="575">
        <v>5</v>
      </c>
      <c r="AB3" s="575">
        <v>6</v>
      </c>
      <c r="AC3" s="575">
        <v>7</v>
      </c>
      <c r="AD3" s="579">
        <v>8</v>
      </c>
      <c r="AE3" s="579"/>
      <c r="AF3" s="579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AD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si="1"/>
        <v/>
      </c>
      <c r="AB4" s="570" t="str">
        <f t="shared" si="1"/>
        <v/>
      </c>
      <c r="AC4" s="578" t="str">
        <f t="shared" si="1"/>
        <v/>
      </c>
      <c r="AD4" s="570" t="str">
        <f t="shared" si="1"/>
        <v/>
      </c>
      <c r="AE4" s="578"/>
      <c r="AF4" s="570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1"/>
        <v/>
      </c>
      <c r="AB5" s="570" t="str">
        <f t="shared" si="1"/>
        <v/>
      </c>
      <c r="AC5" s="578" t="str">
        <f t="shared" si="1"/>
        <v/>
      </c>
      <c r="AD5" s="570" t="str">
        <f t="shared" si="1"/>
        <v/>
      </c>
      <c r="AE5" s="578"/>
      <c r="AF5" s="570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1"/>
        <v/>
      </c>
      <c r="AB6" s="570" t="str">
        <f t="shared" si="1"/>
        <v/>
      </c>
      <c r="AC6" s="578" t="str">
        <f t="shared" si="1"/>
        <v/>
      </c>
      <c r="AD6" s="570" t="str">
        <f t="shared" si="1"/>
        <v/>
      </c>
      <c r="AE6" s="578"/>
      <c r="AF6" s="570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1"/>
        <v/>
      </c>
      <c r="AB7" s="570" t="str">
        <f t="shared" si="1"/>
        <v/>
      </c>
      <c r="AC7" s="578" t="str">
        <f t="shared" si="1"/>
        <v/>
      </c>
      <c r="AD7" s="570" t="str">
        <f t="shared" si="1"/>
        <v/>
      </c>
      <c r="AE7" s="578"/>
      <c r="AF7" s="570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1"/>
        <v/>
      </c>
      <c r="AB8" s="570" t="str">
        <f t="shared" si="1"/>
        <v/>
      </c>
      <c r="AC8" s="578" t="str">
        <f t="shared" si="1"/>
        <v/>
      </c>
      <c r="AD8" s="570" t="str">
        <f t="shared" si="1"/>
        <v/>
      </c>
      <c r="AE8" s="578"/>
      <c r="AF8" s="570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1"/>
        <v/>
      </c>
      <c r="AB9" s="570" t="str">
        <f t="shared" si="1"/>
        <v/>
      </c>
      <c r="AC9" s="578" t="str">
        <f t="shared" si="1"/>
        <v/>
      </c>
      <c r="AD9" s="570" t="str">
        <f t="shared" si="1"/>
        <v/>
      </c>
      <c r="AE9" s="578"/>
      <c r="AF9" s="570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1"/>
        <v/>
      </c>
      <c r="AB10" s="570" t="str">
        <f t="shared" si="1"/>
        <v/>
      </c>
      <c r="AC10" s="578" t="str">
        <f t="shared" si="1"/>
        <v/>
      </c>
      <c r="AD10" s="570" t="str">
        <f t="shared" si="1"/>
        <v/>
      </c>
      <c r="AE10" s="578"/>
      <c r="AF10" s="570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1"/>
        <v/>
      </c>
      <c r="AB11" s="570" t="str">
        <f t="shared" si="1"/>
        <v/>
      </c>
      <c r="AC11" s="578" t="str">
        <f t="shared" si="1"/>
        <v/>
      </c>
      <c r="AD11" s="570" t="str">
        <f t="shared" si="1"/>
        <v/>
      </c>
      <c r="AE11" s="578"/>
      <c r="AF11" s="570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1"/>
        <v/>
      </c>
      <c r="AB12" s="570" t="str">
        <f t="shared" si="1"/>
        <v/>
      </c>
      <c r="AC12" s="578" t="str">
        <f t="shared" si="1"/>
        <v/>
      </c>
      <c r="AD12" s="570" t="str">
        <f t="shared" si="1"/>
        <v/>
      </c>
      <c r="AE12" s="578"/>
      <c r="AF12" s="570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1"/>
        <v/>
      </c>
      <c r="AB13" s="570" t="str">
        <f t="shared" si="1"/>
        <v/>
      </c>
      <c r="AC13" s="578" t="str">
        <f t="shared" si="1"/>
        <v/>
      </c>
      <c r="AD13" s="570" t="str">
        <f t="shared" si="1"/>
        <v/>
      </c>
      <c r="AE13" s="578"/>
      <c r="AF13" s="570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2">IF($C14="","",IF(VLOOKUP($C14,Tbl_Glob_MedFreq,G$1,FALSE)=0,"",VLOOKUP($C14,Tbl_Glob_MedFreq,G$1,FALSE)))</f>
        <v/>
      </c>
      <c r="H14" s="570" t="str">
        <f t="shared" si="2"/>
        <v/>
      </c>
      <c r="I14" s="578" t="str">
        <f t="shared" si="2"/>
        <v/>
      </c>
      <c r="J14" s="570" t="str">
        <f t="shared" si="2"/>
        <v/>
      </c>
      <c r="K14" s="578" t="str">
        <f t="shared" si="2"/>
        <v/>
      </c>
      <c r="L14" s="570" t="str">
        <f t="shared" si="2"/>
        <v/>
      </c>
      <c r="M14" s="578" t="str">
        <f t="shared" si="2"/>
        <v/>
      </c>
      <c r="N14" s="570" t="str">
        <f t="shared" si="2"/>
        <v/>
      </c>
      <c r="O14" s="578" t="str">
        <f t="shared" si="2"/>
        <v/>
      </c>
      <c r="P14" s="570" t="str">
        <f t="shared" si="2"/>
        <v/>
      </c>
      <c r="Q14" s="578" t="str">
        <f t="shared" ref="Q14:AD24" si="3">IF($C14="","",IF(VLOOKUP($C14,Tbl_Glob_MedFreq,Q$1,FALSE)=0,"",VLOOKUP($C14,Tbl_Glob_MedFreq,Q$1,FALSE)))</f>
        <v/>
      </c>
      <c r="R14" s="570" t="str">
        <f t="shared" si="3"/>
        <v/>
      </c>
      <c r="S14" s="578" t="str">
        <f t="shared" si="3"/>
        <v/>
      </c>
      <c r="T14" s="570" t="str">
        <f t="shared" si="3"/>
        <v/>
      </c>
      <c r="U14" s="578" t="str">
        <f t="shared" si="3"/>
        <v/>
      </c>
      <c r="V14" s="570" t="str">
        <f t="shared" si="3"/>
        <v/>
      </c>
      <c r="W14" s="578" t="str">
        <f t="shared" si="3"/>
        <v/>
      </c>
      <c r="X14" s="570" t="str">
        <f t="shared" si="3"/>
        <v/>
      </c>
      <c r="Y14" s="578" t="str">
        <f t="shared" si="3"/>
        <v/>
      </c>
      <c r="Z14" s="570" t="str">
        <f t="shared" si="3"/>
        <v/>
      </c>
      <c r="AA14" s="578" t="str">
        <f t="shared" si="3"/>
        <v/>
      </c>
      <c r="AB14" s="570" t="str">
        <f t="shared" si="3"/>
        <v/>
      </c>
      <c r="AC14" s="578" t="str">
        <f t="shared" si="3"/>
        <v/>
      </c>
      <c r="AD14" s="570" t="str">
        <f t="shared" si="3"/>
        <v/>
      </c>
      <c r="AE14" s="578"/>
      <c r="AF14" s="570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2"/>
        <v/>
      </c>
      <c r="H15" s="570" t="str">
        <f t="shared" si="2"/>
        <v/>
      </c>
      <c r="I15" s="578" t="str">
        <f t="shared" si="2"/>
        <v/>
      </c>
      <c r="J15" s="570" t="str">
        <f t="shared" si="2"/>
        <v/>
      </c>
      <c r="K15" s="578" t="str">
        <f t="shared" si="2"/>
        <v/>
      </c>
      <c r="L15" s="570" t="str">
        <f t="shared" si="2"/>
        <v/>
      </c>
      <c r="M15" s="578" t="str">
        <f t="shared" si="2"/>
        <v/>
      </c>
      <c r="N15" s="570" t="str">
        <f t="shared" si="2"/>
        <v/>
      </c>
      <c r="O15" s="578" t="str">
        <f t="shared" si="2"/>
        <v/>
      </c>
      <c r="P15" s="570" t="str">
        <f t="shared" si="2"/>
        <v/>
      </c>
      <c r="Q15" s="578" t="str">
        <f t="shared" si="3"/>
        <v/>
      </c>
      <c r="R15" s="570" t="str">
        <f t="shared" si="3"/>
        <v/>
      </c>
      <c r="S15" s="578" t="str">
        <f t="shared" si="3"/>
        <v/>
      </c>
      <c r="T15" s="570" t="str">
        <f t="shared" si="3"/>
        <v/>
      </c>
      <c r="U15" s="578" t="str">
        <f t="shared" si="3"/>
        <v/>
      </c>
      <c r="V15" s="570" t="str">
        <f t="shared" si="3"/>
        <v/>
      </c>
      <c r="W15" s="578" t="str">
        <f t="shared" si="3"/>
        <v/>
      </c>
      <c r="X15" s="570" t="str">
        <f t="shared" si="3"/>
        <v/>
      </c>
      <c r="Y15" s="578" t="str">
        <f t="shared" si="3"/>
        <v/>
      </c>
      <c r="Z15" s="570" t="str">
        <f t="shared" si="3"/>
        <v/>
      </c>
      <c r="AA15" s="578" t="str">
        <f t="shared" si="3"/>
        <v/>
      </c>
      <c r="AB15" s="570" t="str">
        <f t="shared" si="3"/>
        <v/>
      </c>
      <c r="AC15" s="578" t="str">
        <f t="shared" si="3"/>
        <v/>
      </c>
      <c r="AD15" s="570" t="str">
        <f t="shared" si="3"/>
        <v/>
      </c>
      <c r="AE15" s="578"/>
      <c r="AF15" s="570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2"/>
        <v/>
      </c>
      <c r="H16" s="570" t="str">
        <f t="shared" si="2"/>
        <v/>
      </c>
      <c r="I16" s="578" t="str">
        <f t="shared" si="2"/>
        <v/>
      </c>
      <c r="J16" s="570" t="str">
        <f t="shared" si="2"/>
        <v/>
      </c>
      <c r="K16" s="578" t="str">
        <f t="shared" si="2"/>
        <v/>
      </c>
      <c r="L16" s="570" t="str">
        <f t="shared" si="2"/>
        <v/>
      </c>
      <c r="M16" s="578" t="str">
        <f t="shared" si="2"/>
        <v/>
      </c>
      <c r="N16" s="570" t="str">
        <f t="shared" si="2"/>
        <v/>
      </c>
      <c r="O16" s="578" t="str">
        <f t="shared" si="2"/>
        <v/>
      </c>
      <c r="P16" s="570" t="str">
        <f t="shared" si="2"/>
        <v/>
      </c>
      <c r="Q16" s="578" t="str">
        <f t="shared" si="3"/>
        <v/>
      </c>
      <c r="R16" s="570" t="str">
        <f t="shared" si="3"/>
        <v/>
      </c>
      <c r="S16" s="578" t="str">
        <f t="shared" si="3"/>
        <v/>
      </c>
      <c r="T16" s="570" t="str">
        <f t="shared" si="3"/>
        <v/>
      </c>
      <c r="U16" s="578" t="str">
        <f t="shared" si="3"/>
        <v/>
      </c>
      <c r="V16" s="570" t="str">
        <f t="shared" si="3"/>
        <v/>
      </c>
      <c r="W16" s="578" t="str">
        <f t="shared" si="3"/>
        <v/>
      </c>
      <c r="X16" s="570" t="str">
        <f t="shared" si="3"/>
        <v/>
      </c>
      <c r="Y16" s="578" t="str">
        <f t="shared" si="3"/>
        <v/>
      </c>
      <c r="Z16" s="570" t="str">
        <f t="shared" si="3"/>
        <v/>
      </c>
      <c r="AA16" s="578" t="str">
        <f t="shared" si="3"/>
        <v/>
      </c>
      <c r="AB16" s="570" t="str">
        <f t="shared" si="3"/>
        <v/>
      </c>
      <c r="AC16" s="578" t="str">
        <f t="shared" si="3"/>
        <v/>
      </c>
      <c r="AD16" s="570" t="str">
        <f t="shared" si="3"/>
        <v/>
      </c>
      <c r="AE16" s="578"/>
      <c r="AF16" s="570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2"/>
        <v/>
      </c>
      <c r="H17" s="570" t="str">
        <f t="shared" si="2"/>
        <v/>
      </c>
      <c r="I17" s="578" t="str">
        <f t="shared" si="2"/>
        <v/>
      </c>
      <c r="J17" s="570" t="str">
        <f t="shared" si="2"/>
        <v/>
      </c>
      <c r="K17" s="578" t="str">
        <f t="shared" si="2"/>
        <v/>
      </c>
      <c r="L17" s="570" t="str">
        <f t="shared" si="2"/>
        <v/>
      </c>
      <c r="M17" s="578" t="str">
        <f t="shared" si="2"/>
        <v/>
      </c>
      <c r="N17" s="570" t="str">
        <f t="shared" si="2"/>
        <v/>
      </c>
      <c r="O17" s="578" t="str">
        <f t="shared" si="2"/>
        <v/>
      </c>
      <c r="P17" s="570" t="str">
        <f t="shared" si="2"/>
        <v/>
      </c>
      <c r="Q17" s="578" t="str">
        <f t="shared" si="3"/>
        <v/>
      </c>
      <c r="R17" s="570" t="str">
        <f t="shared" si="3"/>
        <v/>
      </c>
      <c r="S17" s="578" t="str">
        <f t="shared" si="3"/>
        <v/>
      </c>
      <c r="T17" s="570" t="str">
        <f t="shared" si="3"/>
        <v/>
      </c>
      <c r="U17" s="578" t="str">
        <f t="shared" si="3"/>
        <v/>
      </c>
      <c r="V17" s="570" t="str">
        <f t="shared" si="3"/>
        <v/>
      </c>
      <c r="W17" s="578" t="str">
        <f t="shared" si="3"/>
        <v/>
      </c>
      <c r="X17" s="570" t="str">
        <f t="shared" si="3"/>
        <v/>
      </c>
      <c r="Y17" s="578" t="str">
        <f t="shared" si="3"/>
        <v/>
      </c>
      <c r="Z17" s="570" t="str">
        <f t="shared" si="3"/>
        <v/>
      </c>
      <c r="AA17" s="578" t="str">
        <f t="shared" si="3"/>
        <v/>
      </c>
      <c r="AB17" s="570" t="str">
        <f t="shared" si="3"/>
        <v/>
      </c>
      <c r="AC17" s="578" t="str">
        <f t="shared" si="3"/>
        <v/>
      </c>
      <c r="AD17" s="570" t="str">
        <f t="shared" si="3"/>
        <v/>
      </c>
      <c r="AE17" s="578"/>
      <c r="AF17" s="570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2"/>
        <v/>
      </c>
      <c r="H18" s="570" t="str">
        <f t="shared" si="2"/>
        <v/>
      </c>
      <c r="I18" s="578" t="str">
        <f t="shared" si="2"/>
        <v/>
      </c>
      <c r="J18" s="570" t="str">
        <f t="shared" si="2"/>
        <v/>
      </c>
      <c r="K18" s="578" t="str">
        <f t="shared" si="2"/>
        <v/>
      </c>
      <c r="L18" s="570" t="str">
        <f t="shared" si="2"/>
        <v/>
      </c>
      <c r="M18" s="578" t="str">
        <f t="shared" si="2"/>
        <v/>
      </c>
      <c r="N18" s="570" t="str">
        <f t="shared" si="2"/>
        <v/>
      </c>
      <c r="O18" s="578" t="str">
        <f t="shared" si="2"/>
        <v/>
      </c>
      <c r="P18" s="570" t="str">
        <f t="shared" si="2"/>
        <v/>
      </c>
      <c r="Q18" s="578" t="str">
        <f t="shared" si="3"/>
        <v/>
      </c>
      <c r="R18" s="570" t="str">
        <f t="shared" si="3"/>
        <v/>
      </c>
      <c r="S18" s="578" t="str">
        <f t="shared" si="3"/>
        <v/>
      </c>
      <c r="T18" s="570" t="str">
        <f t="shared" si="3"/>
        <v/>
      </c>
      <c r="U18" s="578" t="str">
        <f t="shared" si="3"/>
        <v/>
      </c>
      <c r="V18" s="570" t="str">
        <f t="shared" si="3"/>
        <v/>
      </c>
      <c r="W18" s="578" t="str">
        <f t="shared" si="3"/>
        <v/>
      </c>
      <c r="X18" s="570" t="str">
        <f t="shared" si="3"/>
        <v/>
      </c>
      <c r="Y18" s="578" t="str">
        <f t="shared" si="3"/>
        <v/>
      </c>
      <c r="Z18" s="570" t="str">
        <f t="shared" si="3"/>
        <v/>
      </c>
      <c r="AA18" s="578" t="str">
        <f t="shared" si="3"/>
        <v/>
      </c>
      <c r="AB18" s="570" t="str">
        <f t="shared" si="3"/>
        <v/>
      </c>
      <c r="AC18" s="578" t="str">
        <f t="shared" si="3"/>
        <v/>
      </c>
      <c r="AD18" s="570" t="str">
        <f t="shared" si="3"/>
        <v/>
      </c>
      <c r="AE18" s="578"/>
      <c r="AF18" s="570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2"/>
        <v/>
      </c>
      <c r="H19" s="570" t="str">
        <f t="shared" si="2"/>
        <v/>
      </c>
      <c r="I19" s="578" t="str">
        <f t="shared" si="2"/>
        <v/>
      </c>
      <c r="J19" s="570" t="str">
        <f t="shared" si="2"/>
        <v/>
      </c>
      <c r="K19" s="578" t="str">
        <f t="shared" si="2"/>
        <v/>
      </c>
      <c r="L19" s="570" t="str">
        <f t="shared" si="2"/>
        <v/>
      </c>
      <c r="M19" s="578" t="str">
        <f t="shared" si="2"/>
        <v/>
      </c>
      <c r="N19" s="570" t="str">
        <f t="shared" si="2"/>
        <v/>
      </c>
      <c r="O19" s="578" t="str">
        <f t="shared" si="2"/>
        <v/>
      </c>
      <c r="P19" s="570" t="str">
        <f t="shared" si="2"/>
        <v/>
      </c>
      <c r="Q19" s="578" t="str">
        <f t="shared" si="3"/>
        <v/>
      </c>
      <c r="R19" s="570" t="str">
        <f t="shared" si="3"/>
        <v/>
      </c>
      <c r="S19" s="578" t="str">
        <f t="shared" si="3"/>
        <v/>
      </c>
      <c r="T19" s="570" t="str">
        <f t="shared" si="3"/>
        <v/>
      </c>
      <c r="U19" s="578" t="str">
        <f t="shared" si="3"/>
        <v/>
      </c>
      <c r="V19" s="570" t="str">
        <f t="shared" si="3"/>
        <v/>
      </c>
      <c r="W19" s="578" t="str">
        <f t="shared" si="3"/>
        <v/>
      </c>
      <c r="X19" s="570" t="str">
        <f t="shared" si="3"/>
        <v/>
      </c>
      <c r="Y19" s="578" t="str">
        <f t="shared" si="3"/>
        <v/>
      </c>
      <c r="Z19" s="570" t="str">
        <f t="shared" si="3"/>
        <v/>
      </c>
      <c r="AA19" s="578" t="str">
        <f t="shared" si="3"/>
        <v/>
      </c>
      <c r="AB19" s="570" t="str">
        <f t="shared" si="3"/>
        <v/>
      </c>
      <c r="AC19" s="578" t="str">
        <f t="shared" si="3"/>
        <v/>
      </c>
      <c r="AD19" s="570" t="str">
        <f t="shared" si="3"/>
        <v/>
      </c>
      <c r="AE19" s="578"/>
      <c r="AF19" s="570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2"/>
        <v/>
      </c>
      <c r="H20" s="570" t="str">
        <f t="shared" si="2"/>
        <v/>
      </c>
      <c r="I20" s="578" t="str">
        <f t="shared" si="2"/>
        <v/>
      </c>
      <c r="J20" s="570" t="str">
        <f t="shared" si="2"/>
        <v/>
      </c>
      <c r="K20" s="578" t="str">
        <f t="shared" si="2"/>
        <v/>
      </c>
      <c r="L20" s="570" t="str">
        <f t="shared" si="2"/>
        <v/>
      </c>
      <c r="M20" s="578" t="str">
        <f t="shared" si="2"/>
        <v/>
      </c>
      <c r="N20" s="570" t="str">
        <f t="shared" si="2"/>
        <v/>
      </c>
      <c r="O20" s="578" t="str">
        <f t="shared" si="2"/>
        <v/>
      </c>
      <c r="P20" s="570" t="str">
        <f t="shared" si="2"/>
        <v/>
      </c>
      <c r="Q20" s="578" t="str">
        <f t="shared" si="3"/>
        <v/>
      </c>
      <c r="R20" s="570" t="str">
        <f t="shared" si="3"/>
        <v/>
      </c>
      <c r="S20" s="578" t="str">
        <f t="shared" si="3"/>
        <v/>
      </c>
      <c r="T20" s="570" t="str">
        <f t="shared" si="3"/>
        <v/>
      </c>
      <c r="U20" s="578" t="str">
        <f t="shared" si="3"/>
        <v/>
      </c>
      <c r="V20" s="570" t="str">
        <f t="shared" si="3"/>
        <v/>
      </c>
      <c r="W20" s="578" t="str">
        <f t="shared" si="3"/>
        <v/>
      </c>
      <c r="X20" s="570" t="str">
        <f t="shared" si="3"/>
        <v/>
      </c>
      <c r="Y20" s="578" t="str">
        <f t="shared" si="3"/>
        <v/>
      </c>
      <c r="Z20" s="570" t="str">
        <f t="shared" si="3"/>
        <v/>
      </c>
      <c r="AA20" s="578" t="str">
        <f t="shared" si="3"/>
        <v/>
      </c>
      <c r="AB20" s="570" t="str">
        <f t="shared" si="3"/>
        <v/>
      </c>
      <c r="AC20" s="578" t="str">
        <f t="shared" si="3"/>
        <v/>
      </c>
      <c r="AD20" s="570" t="str">
        <f t="shared" si="3"/>
        <v/>
      </c>
      <c r="AE20" s="578"/>
      <c r="AF20" s="570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2"/>
        <v/>
      </c>
      <c r="H21" s="570" t="str">
        <f t="shared" si="2"/>
        <v/>
      </c>
      <c r="I21" s="578" t="str">
        <f t="shared" si="2"/>
        <v/>
      </c>
      <c r="J21" s="570" t="str">
        <f t="shared" si="2"/>
        <v/>
      </c>
      <c r="K21" s="578" t="str">
        <f t="shared" si="2"/>
        <v/>
      </c>
      <c r="L21" s="570" t="str">
        <f t="shared" si="2"/>
        <v/>
      </c>
      <c r="M21" s="578" t="str">
        <f t="shared" si="2"/>
        <v/>
      </c>
      <c r="N21" s="570" t="str">
        <f t="shared" si="2"/>
        <v/>
      </c>
      <c r="O21" s="578" t="str">
        <f t="shared" si="2"/>
        <v/>
      </c>
      <c r="P21" s="570" t="str">
        <f t="shared" si="2"/>
        <v/>
      </c>
      <c r="Q21" s="578" t="str">
        <f t="shared" si="3"/>
        <v/>
      </c>
      <c r="R21" s="570" t="str">
        <f t="shared" si="3"/>
        <v/>
      </c>
      <c r="S21" s="578" t="str">
        <f t="shared" si="3"/>
        <v/>
      </c>
      <c r="T21" s="570" t="str">
        <f t="shared" si="3"/>
        <v/>
      </c>
      <c r="U21" s="578" t="str">
        <f t="shared" si="3"/>
        <v/>
      </c>
      <c r="V21" s="570" t="str">
        <f t="shared" si="3"/>
        <v/>
      </c>
      <c r="W21" s="578" t="str">
        <f t="shared" si="3"/>
        <v/>
      </c>
      <c r="X21" s="570" t="str">
        <f t="shared" si="3"/>
        <v/>
      </c>
      <c r="Y21" s="578" t="str">
        <f t="shared" si="3"/>
        <v/>
      </c>
      <c r="Z21" s="570" t="str">
        <f t="shared" si="3"/>
        <v/>
      </c>
      <c r="AA21" s="578" t="str">
        <f t="shared" si="3"/>
        <v/>
      </c>
      <c r="AB21" s="570" t="str">
        <f t="shared" si="3"/>
        <v/>
      </c>
      <c r="AC21" s="578" t="str">
        <f t="shared" si="3"/>
        <v/>
      </c>
      <c r="AD21" s="570" t="str">
        <f t="shared" si="3"/>
        <v/>
      </c>
      <c r="AE21" s="578"/>
      <c r="AF21" s="570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2"/>
        <v/>
      </c>
      <c r="H22" s="570" t="str">
        <f t="shared" si="2"/>
        <v/>
      </c>
      <c r="I22" s="578" t="str">
        <f t="shared" si="2"/>
        <v/>
      </c>
      <c r="J22" s="570" t="str">
        <f t="shared" si="2"/>
        <v/>
      </c>
      <c r="K22" s="578" t="str">
        <f t="shared" si="2"/>
        <v/>
      </c>
      <c r="L22" s="570" t="str">
        <f t="shared" si="2"/>
        <v/>
      </c>
      <c r="M22" s="578" t="str">
        <f t="shared" si="2"/>
        <v/>
      </c>
      <c r="N22" s="570" t="str">
        <f t="shared" si="2"/>
        <v/>
      </c>
      <c r="O22" s="578" t="str">
        <f t="shared" si="2"/>
        <v/>
      </c>
      <c r="P22" s="570" t="str">
        <f t="shared" si="2"/>
        <v/>
      </c>
      <c r="Q22" s="578" t="str">
        <f t="shared" si="3"/>
        <v/>
      </c>
      <c r="R22" s="570" t="str">
        <f t="shared" si="3"/>
        <v/>
      </c>
      <c r="S22" s="578" t="str">
        <f t="shared" si="3"/>
        <v/>
      </c>
      <c r="T22" s="570" t="str">
        <f t="shared" si="3"/>
        <v/>
      </c>
      <c r="U22" s="578" t="str">
        <f t="shared" si="3"/>
        <v/>
      </c>
      <c r="V22" s="570" t="str">
        <f t="shared" si="3"/>
        <v/>
      </c>
      <c r="W22" s="578" t="str">
        <f t="shared" si="3"/>
        <v/>
      </c>
      <c r="X22" s="570" t="str">
        <f t="shared" si="3"/>
        <v/>
      </c>
      <c r="Y22" s="578" t="str">
        <f t="shared" si="3"/>
        <v/>
      </c>
      <c r="Z22" s="570" t="str">
        <f t="shared" si="3"/>
        <v/>
      </c>
      <c r="AA22" s="578" t="str">
        <f t="shared" si="3"/>
        <v/>
      </c>
      <c r="AB22" s="570" t="str">
        <f t="shared" si="3"/>
        <v/>
      </c>
      <c r="AC22" s="578" t="str">
        <f t="shared" si="3"/>
        <v/>
      </c>
      <c r="AD22" s="570" t="str">
        <f t="shared" si="3"/>
        <v/>
      </c>
      <c r="AE22" s="578"/>
      <c r="AF22" s="570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2"/>
        <v/>
      </c>
      <c r="H23" s="570" t="str">
        <f t="shared" si="2"/>
        <v/>
      </c>
      <c r="I23" s="578" t="str">
        <f t="shared" si="2"/>
        <v/>
      </c>
      <c r="J23" s="570" t="str">
        <f t="shared" si="2"/>
        <v/>
      </c>
      <c r="K23" s="578" t="str">
        <f t="shared" si="2"/>
        <v/>
      </c>
      <c r="L23" s="570" t="str">
        <f t="shared" si="2"/>
        <v/>
      </c>
      <c r="M23" s="578" t="str">
        <f t="shared" si="2"/>
        <v/>
      </c>
      <c r="N23" s="570" t="str">
        <f t="shared" si="2"/>
        <v/>
      </c>
      <c r="O23" s="578" t="str">
        <f t="shared" si="2"/>
        <v/>
      </c>
      <c r="P23" s="570" t="str">
        <f t="shared" si="2"/>
        <v/>
      </c>
      <c r="Q23" s="578" t="str">
        <f t="shared" si="3"/>
        <v/>
      </c>
      <c r="R23" s="570" t="str">
        <f t="shared" si="3"/>
        <v/>
      </c>
      <c r="S23" s="578" t="str">
        <f t="shared" si="3"/>
        <v/>
      </c>
      <c r="T23" s="570" t="str">
        <f t="shared" si="3"/>
        <v/>
      </c>
      <c r="U23" s="578" t="str">
        <f t="shared" si="3"/>
        <v/>
      </c>
      <c r="V23" s="570" t="str">
        <f t="shared" si="3"/>
        <v/>
      </c>
      <c r="W23" s="578" t="str">
        <f t="shared" si="3"/>
        <v/>
      </c>
      <c r="X23" s="570" t="str">
        <f t="shared" si="3"/>
        <v/>
      </c>
      <c r="Y23" s="578" t="str">
        <f t="shared" si="3"/>
        <v/>
      </c>
      <c r="Z23" s="570" t="str">
        <f t="shared" si="3"/>
        <v/>
      </c>
      <c r="AA23" s="578" t="str">
        <f t="shared" si="3"/>
        <v/>
      </c>
      <c r="AB23" s="570" t="str">
        <f t="shared" si="3"/>
        <v/>
      </c>
      <c r="AC23" s="578" t="str">
        <f t="shared" si="3"/>
        <v/>
      </c>
      <c r="AD23" s="570" t="str">
        <f t="shared" si="3"/>
        <v/>
      </c>
      <c r="AE23" s="578"/>
      <c r="AF23" s="570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2"/>
        <v/>
      </c>
      <c r="H24" s="570" t="str">
        <f t="shared" si="2"/>
        <v/>
      </c>
      <c r="I24" s="578" t="str">
        <f t="shared" si="2"/>
        <v/>
      </c>
      <c r="J24" s="570" t="str">
        <f t="shared" si="2"/>
        <v/>
      </c>
      <c r="K24" s="578" t="str">
        <f t="shared" si="2"/>
        <v/>
      </c>
      <c r="L24" s="570" t="str">
        <f t="shared" si="2"/>
        <v/>
      </c>
      <c r="M24" s="578" t="str">
        <f t="shared" si="2"/>
        <v/>
      </c>
      <c r="N24" s="570" t="str">
        <f t="shared" si="2"/>
        <v/>
      </c>
      <c r="O24" s="578" t="str">
        <f t="shared" si="2"/>
        <v/>
      </c>
      <c r="P24" s="570" t="str">
        <f t="shared" si="2"/>
        <v/>
      </c>
      <c r="Q24" s="578" t="str">
        <f t="shared" si="3"/>
        <v/>
      </c>
      <c r="R24" s="570" t="str">
        <f t="shared" si="3"/>
        <v/>
      </c>
      <c r="S24" s="578" t="str">
        <f t="shared" si="3"/>
        <v/>
      </c>
      <c r="T24" s="570" t="str">
        <f t="shared" si="3"/>
        <v/>
      </c>
      <c r="U24" s="578" t="str">
        <f t="shared" si="3"/>
        <v/>
      </c>
      <c r="V24" s="570" t="str">
        <f t="shared" si="3"/>
        <v/>
      </c>
      <c r="W24" s="578" t="str">
        <f t="shared" si="3"/>
        <v/>
      </c>
      <c r="X24" s="570" t="str">
        <f t="shared" si="3"/>
        <v/>
      </c>
      <c r="Y24" s="578" t="str">
        <f t="shared" si="3"/>
        <v/>
      </c>
      <c r="Z24" s="570" t="str">
        <f t="shared" si="3"/>
        <v/>
      </c>
      <c r="AA24" s="578" t="str">
        <f t="shared" si="3"/>
        <v/>
      </c>
      <c r="AB24" s="570" t="str">
        <f t="shared" si="3"/>
        <v/>
      </c>
      <c r="AC24" s="578" t="str">
        <f t="shared" si="3"/>
        <v/>
      </c>
      <c r="AD24" s="570" t="str">
        <f t="shared" si="3"/>
        <v/>
      </c>
      <c r="AE24" s="578"/>
      <c r="AF24" s="570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62">
        <f ca="1">TODAY()</f>
        <v>43002</v>
      </c>
      <c r="AB25" s="862"/>
      <c r="AC25" s="862"/>
      <c r="AD25" s="86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9</v>
      </c>
      <c r="H26" s="575">
        <v>10</v>
      </c>
      <c r="I26" s="575">
        <v>11</v>
      </c>
      <c r="J26" s="575">
        <v>12</v>
      </c>
      <c r="K26" s="575">
        <v>13</v>
      </c>
      <c r="L26" s="575">
        <v>14</v>
      </c>
      <c r="M26" s="575">
        <v>15</v>
      </c>
      <c r="N26" s="575">
        <v>16</v>
      </c>
      <c r="O26" s="575">
        <v>17</v>
      </c>
      <c r="P26" s="575">
        <v>18</v>
      </c>
      <c r="Q26" s="576">
        <v>19</v>
      </c>
      <c r="R26" s="576">
        <v>20</v>
      </c>
      <c r="S26" s="576">
        <v>21</v>
      </c>
      <c r="T26" s="576">
        <v>22</v>
      </c>
      <c r="U26" s="576">
        <v>23</v>
      </c>
      <c r="V26" s="576">
        <v>24</v>
      </c>
      <c r="W26" s="575">
        <v>1</v>
      </c>
      <c r="X26" s="575">
        <v>2</v>
      </c>
      <c r="Y26" s="575">
        <v>3</v>
      </c>
      <c r="Z26" s="575">
        <v>4</v>
      </c>
      <c r="AA26" s="575">
        <v>5</v>
      </c>
      <c r="AB26" s="575">
        <v>6</v>
      </c>
      <c r="AC26" s="575">
        <v>7</v>
      </c>
      <c r="AD26" s="579">
        <v>8</v>
      </c>
      <c r="AE26" s="579"/>
      <c r="AF26" s="579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4">IF($C27="","",IF(VLOOKUP($C27,Tbl_Glob_MedFreq,G$1,FALSE)=0,"",VLOOKUP($C27,Tbl_Glob_MedFreq,G$1,FALSE)))</f>
        <v/>
      </c>
      <c r="H27" s="570" t="str">
        <f t="shared" si="4"/>
        <v/>
      </c>
      <c r="I27" s="578" t="str">
        <f t="shared" si="4"/>
        <v/>
      </c>
      <c r="J27" s="570" t="str">
        <f t="shared" si="4"/>
        <v/>
      </c>
      <c r="K27" s="578" t="str">
        <f t="shared" si="4"/>
        <v/>
      </c>
      <c r="L27" s="570" t="str">
        <f t="shared" si="4"/>
        <v/>
      </c>
      <c r="M27" s="578" t="str">
        <f t="shared" si="4"/>
        <v/>
      </c>
      <c r="N27" s="570" t="str">
        <f t="shared" si="4"/>
        <v/>
      </c>
      <c r="O27" s="578" t="str">
        <f t="shared" si="4"/>
        <v/>
      </c>
      <c r="P27" s="570" t="str">
        <f t="shared" si="4"/>
        <v/>
      </c>
      <c r="Q27" s="578" t="str">
        <f t="shared" ref="Q27:AD35" si="5">IF($C27="","",IF(VLOOKUP($C27,Tbl_Glob_MedFreq,Q$1,FALSE)=0,"",VLOOKUP($C27,Tbl_Glob_MedFreq,Q$1,FALSE)))</f>
        <v/>
      </c>
      <c r="R27" s="570" t="str">
        <f t="shared" si="5"/>
        <v/>
      </c>
      <c r="S27" s="578" t="str">
        <f t="shared" si="5"/>
        <v/>
      </c>
      <c r="T27" s="570" t="str">
        <f t="shared" si="5"/>
        <v/>
      </c>
      <c r="U27" s="578" t="str">
        <f t="shared" si="5"/>
        <v/>
      </c>
      <c r="V27" s="570" t="str">
        <f t="shared" si="5"/>
        <v/>
      </c>
      <c r="W27" s="578" t="str">
        <f t="shared" si="5"/>
        <v/>
      </c>
      <c r="X27" s="570" t="str">
        <f t="shared" si="5"/>
        <v/>
      </c>
      <c r="Y27" s="578" t="str">
        <f t="shared" si="5"/>
        <v/>
      </c>
      <c r="Z27" s="570" t="str">
        <f t="shared" si="5"/>
        <v/>
      </c>
      <c r="AA27" s="578" t="str">
        <f t="shared" si="5"/>
        <v/>
      </c>
      <c r="AB27" s="570" t="str">
        <f t="shared" si="5"/>
        <v/>
      </c>
      <c r="AC27" s="578" t="str">
        <f t="shared" si="5"/>
        <v/>
      </c>
      <c r="AD27" s="570" t="str">
        <f t="shared" si="5"/>
        <v/>
      </c>
      <c r="AE27" s="578"/>
      <c r="AF27" s="570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4"/>
        <v/>
      </c>
      <c r="H28" s="570" t="str">
        <f t="shared" si="4"/>
        <v/>
      </c>
      <c r="I28" s="578" t="str">
        <f t="shared" si="4"/>
        <v/>
      </c>
      <c r="J28" s="570" t="str">
        <f t="shared" si="4"/>
        <v/>
      </c>
      <c r="K28" s="578" t="str">
        <f t="shared" si="4"/>
        <v/>
      </c>
      <c r="L28" s="570" t="str">
        <f t="shared" si="4"/>
        <v/>
      </c>
      <c r="M28" s="578" t="str">
        <f t="shared" si="4"/>
        <v/>
      </c>
      <c r="N28" s="570" t="str">
        <f t="shared" si="4"/>
        <v/>
      </c>
      <c r="O28" s="578" t="str">
        <f t="shared" si="4"/>
        <v/>
      </c>
      <c r="P28" s="570" t="str">
        <f t="shared" si="4"/>
        <v/>
      </c>
      <c r="Q28" s="578" t="str">
        <f t="shared" si="5"/>
        <v/>
      </c>
      <c r="R28" s="570" t="str">
        <f t="shared" si="5"/>
        <v/>
      </c>
      <c r="S28" s="578" t="str">
        <f t="shared" si="5"/>
        <v/>
      </c>
      <c r="T28" s="570" t="str">
        <f t="shared" si="5"/>
        <v/>
      </c>
      <c r="U28" s="578" t="str">
        <f t="shared" si="5"/>
        <v/>
      </c>
      <c r="V28" s="570" t="str">
        <f t="shared" si="5"/>
        <v/>
      </c>
      <c r="W28" s="578" t="str">
        <f t="shared" si="5"/>
        <v/>
      </c>
      <c r="X28" s="570" t="str">
        <f t="shared" si="5"/>
        <v/>
      </c>
      <c r="Y28" s="578" t="str">
        <f t="shared" si="5"/>
        <v/>
      </c>
      <c r="Z28" s="570" t="str">
        <f t="shared" si="5"/>
        <v/>
      </c>
      <c r="AA28" s="578" t="str">
        <f t="shared" si="5"/>
        <v/>
      </c>
      <c r="AB28" s="570" t="str">
        <f t="shared" si="5"/>
        <v/>
      </c>
      <c r="AC28" s="578" t="str">
        <f t="shared" si="5"/>
        <v/>
      </c>
      <c r="AD28" s="570" t="str">
        <f t="shared" si="5"/>
        <v/>
      </c>
      <c r="AE28" s="578"/>
      <c r="AF28" s="570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4"/>
        <v/>
      </c>
      <c r="H29" s="570" t="str">
        <f t="shared" si="4"/>
        <v/>
      </c>
      <c r="I29" s="578" t="str">
        <f t="shared" si="4"/>
        <v/>
      </c>
      <c r="J29" s="570" t="str">
        <f t="shared" si="4"/>
        <v/>
      </c>
      <c r="K29" s="578" t="str">
        <f t="shared" si="4"/>
        <v/>
      </c>
      <c r="L29" s="570" t="str">
        <f t="shared" si="4"/>
        <v/>
      </c>
      <c r="M29" s="578" t="str">
        <f t="shared" si="4"/>
        <v/>
      </c>
      <c r="N29" s="570" t="str">
        <f t="shared" si="4"/>
        <v/>
      </c>
      <c r="O29" s="578" t="str">
        <f t="shared" si="4"/>
        <v/>
      </c>
      <c r="P29" s="570" t="str">
        <f t="shared" si="4"/>
        <v/>
      </c>
      <c r="Q29" s="578" t="str">
        <f t="shared" si="5"/>
        <v/>
      </c>
      <c r="R29" s="570" t="str">
        <f t="shared" si="5"/>
        <v/>
      </c>
      <c r="S29" s="578" t="str">
        <f t="shared" si="5"/>
        <v/>
      </c>
      <c r="T29" s="570" t="str">
        <f t="shared" si="5"/>
        <v/>
      </c>
      <c r="U29" s="578" t="str">
        <f t="shared" si="5"/>
        <v/>
      </c>
      <c r="V29" s="570" t="str">
        <f t="shared" si="5"/>
        <v/>
      </c>
      <c r="W29" s="578" t="str">
        <f t="shared" si="5"/>
        <v/>
      </c>
      <c r="X29" s="570" t="str">
        <f t="shared" si="5"/>
        <v/>
      </c>
      <c r="Y29" s="578" t="str">
        <f t="shared" si="5"/>
        <v/>
      </c>
      <c r="Z29" s="570" t="str">
        <f t="shared" si="5"/>
        <v/>
      </c>
      <c r="AA29" s="578" t="str">
        <f t="shared" si="5"/>
        <v/>
      </c>
      <c r="AB29" s="570" t="str">
        <f t="shared" si="5"/>
        <v/>
      </c>
      <c r="AC29" s="578" t="str">
        <f t="shared" si="5"/>
        <v/>
      </c>
      <c r="AD29" s="570" t="str">
        <f t="shared" si="5"/>
        <v/>
      </c>
      <c r="AE29" s="578"/>
      <c r="AF29" s="570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4"/>
        <v/>
      </c>
      <c r="H30" s="570" t="str">
        <f t="shared" si="4"/>
        <v/>
      </c>
      <c r="I30" s="578" t="str">
        <f t="shared" si="4"/>
        <v/>
      </c>
      <c r="J30" s="570" t="str">
        <f t="shared" si="4"/>
        <v/>
      </c>
      <c r="K30" s="578" t="str">
        <f t="shared" si="4"/>
        <v/>
      </c>
      <c r="L30" s="570" t="str">
        <f t="shared" si="4"/>
        <v/>
      </c>
      <c r="M30" s="578" t="str">
        <f t="shared" si="4"/>
        <v/>
      </c>
      <c r="N30" s="570" t="str">
        <f t="shared" si="4"/>
        <v/>
      </c>
      <c r="O30" s="578" t="str">
        <f t="shared" si="4"/>
        <v/>
      </c>
      <c r="P30" s="570" t="str">
        <f t="shared" si="4"/>
        <v/>
      </c>
      <c r="Q30" s="578" t="str">
        <f t="shared" si="5"/>
        <v/>
      </c>
      <c r="R30" s="570" t="str">
        <f t="shared" si="5"/>
        <v/>
      </c>
      <c r="S30" s="578" t="str">
        <f t="shared" si="5"/>
        <v/>
      </c>
      <c r="T30" s="570" t="str">
        <f t="shared" si="5"/>
        <v/>
      </c>
      <c r="U30" s="578" t="str">
        <f t="shared" si="5"/>
        <v/>
      </c>
      <c r="V30" s="570" t="str">
        <f t="shared" si="5"/>
        <v/>
      </c>
      <c r="W30" s="578" t="str">
        <f t="shared" si="5"/>
        <v/>
      </c>
      <c r="X30" s="570" t="str">
        <f t="shared" si="5"/>
        <v/>
      </c>
      <c r="Y30" s="578" t="str">
        <f t="shared" si="5"/>
        <v/>
      </c>
      <c r="Z30" s="570" t="str">
        <f t="shared" si="5"/>
        <v/>
      </c>
      <c r="AA30" s="578" t="str">
        <f t="shared" si="5"/>
        <v/>
      </c>
      <c r="AB30" s="570" t="str">
        <f t="shared" si="5"/>
        <v/>
      </c>
      <c r="AC30" s="578" t="str">
        <f t="shared" si="5"/>
        <v/>
      </c>
      <c r="AD30" s="570" t="str">
        <f t="shared" si="5"/>
        <v/>
      </c>
      <c r="AE30" s="578"/>
      <c r="AF30" s="570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4"/>
        <v/>
      </c>
      <c r="H31" s="570" t="str">
        <f t="shared" si="4"/>
        <v/>
      </c>
      <c r="I31" s="578" t="str">
        <f t="shared" si="4"/>
        <v/>
      </c>
      <c r="J31" s="570" t="str">
        <f t="shared" si="4"/>
        <v/>
      </c>
      <c r="K31" s="578" t="str">
        <f t="shared" si="4"/>
        <v/>
      </c>
      <c r="L31" s="570" t="str">
        <f t="shared" si="4"/>
        <v/>
      </c>
      <c r="M31" s="578" t="str">
        <f t="shared" si="4"/>
        <v/>
      </c>
      <c r="N31" s="570" t="str">
        <f t="shared" si="4"/>
        <v/>
      </c>
      <c r="O31" s="578" t="str">
        <f t="shared" si="4"/>
        <v/>
      </c>
      <c r="P31" s="570" t="str">
        <f t="shared" si="4"/>
        <v/>
      </c>
      <c r="Q31" s="578" t="str">
        <f t="shared" si="5"/>
        <v/>
      </c>
      <c r="R31" s="570" t="str">
        <f t="shared" si="5"/>
        <v/>
      </c>
      <c r="S31" s="578" t="str">
        <f t="shared" si="5"/>
        <v/>
      </c>
      <c r="T31" s="570" t="str">
        <f t="shared" si="5"/>
        <v/>
      </c>
      <c r="U31" s="578" t="str">
        <f t="shared" si="5"/>
        <v/>
      </c>
      <c r="V31" s="570" t="str">
        <f t="shared" si="5"/>
        <v/>
      </c>
      <c r="W31" s="578" t="str">
        <f t="shared" si="5"/>
        <v/>
      </c>
      <c r="X31" s="570" t="str">
        <f t="shared" si="5"/>
        <v/>
      </c>
      <c r="Y31" s="578" t="str">
        <f t="shared" si="5"/>
        <v/>
      </c>
      <c r="Z31" s="570" t="str">
        <f t="shared" si="5"/>
        <v/>
      </c>
      <c r="AA31" s="578" t="str">
        <f t="shared" si="5"/>
        <v/>
      </c>
      <c r="AB31" s="570" t="str">
        <f t="shared" si="5"/>
        <v/>
      </c>
      <c r="AC31" s="578" t="str">
        <f t="shared" si="5"/>
        <v/>
      </c>
      <c r="AD31" s="570" t="str">
        <f t="shared" si="5"/>
        <v/>
      </c>
      <c r="AE31" s="578"/>
      <c r="AF31" s="570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4"/>
        <v/>
      </c>
      <c r="H32" s="570" t="str">
        <f t="shared" si="4"/>
        <v/>
      </c>
      <c r="I32" s="578" t="str">
        <f t="shared" si="4"/>
        <v/>
      </c>
      <c r="J32" s="570" t="str">
        <f t="shared" si="4"/>
        <v/>
      </c>
      <c r="K32" s="578" t="str">
        <f t="shared" si="4"/>
        <v/>
      </c>
      <c r="L32" s="570" t="str">
        <f t="shared" si="4"/>
        <v/>
      </c>
      <c r="M32" s="578" t="str">
        <f t="shared" si="4"/>
        <v/>
      </c>
      <c r="N32" s="570" t="str">
        <f t="shared" si="4"/>
        <v/>
      </c>
      <c r="O32" s="578" t="str">
        <f t="shared" si="4"/>
        <v/>
      </c>
      <c r="P32" s="570" t="str">
        <f t="shared" si="4"/>
        <v/>
      </c>
      <c r="Q32" s="578" t="str">
        <f t="shared" si="5"/>
        <v/>
      </c>
      <c r="R32" s="570" t="str">
        <f t="shared" si="5"/>
        <v/>
      </c>
      <c r="S32" s="578" t="str">
        <f t="shared" si="5"/>
        <v/>
      </c>
      <c r="T32" s="570" t="str">
        <f t="shared" si="5"/>
        <v/>
      </c>
      <c r="U32" s="578" t="str">
        <f t="shared" si="5"/>
        <v/>
      </c>
      <c r="V32" s="570" t="str">
        <f t="shared" si="5"/>
        <v/>
      </c>
      <c r="W32" s="578" t="str">
        <f t="shared" si="5"/>
        <v/>
      </c>
      <c r="X32" s="570" t="str">
        <f t="shared" si="5"/>
        <v/>
      </c>
      <c r="Y32" s="578" t="str">
        <f t="shared" si="5"/>
        <v/>
      </c>
      <c r="Z32" s="570" t="str">
        <f t="shared" si="5"/>
        <v/>
      </c>
      <c r="AA32" s="578" t="str">
        <f t="shared" si="5"/>
        <v/>
      </c>
      <c r="AB32" s="570" t="str">
        <f t="shared" si="5"/>
        <v/>
      </c>
      <c r="AC32" s="578" t="str">
        <f t="shared" si="5"/>
        <v/>
      </c>
      <c r="AD32" s="570" t="str">
        <f t="shared" si="5"/>
        <v/>
      </c>
      <c r="AE32" s="578"/>
      <c r="AF32" s="570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4"/>
        <v/>
      </c>
      <c r="H33" s="570" t="str">
        <f t="shared" si="4"/>
        <v/>
      </c>
      <c r="I33" s="578" t="str">
        <f t="shared" si="4"/>
        <v/>
      </c>
      <c r="J33" s="570" t="str">
        <f t="shared" si="4"/>
        <v/>
      </c>
      <c r="K33" s="578" t="str">
        <f t="shared" si="4"/>
        <v/>
      </c>
      <c r="L33" s="570" t="str">
        <f t="shared" si="4"/>
        <v/>
      </c>
      <c r="M33" s="578" t="str">
        <f t="shared" si="4"/>
        <v/>
      </c>
      <c r="N33" s="570" t="str">
        <f t="shared" si="4"/>
        <v/>
      </c>
      <c r="O33" s="578" t="str">
        <f t="shared" si="4"/>
        <v/>
      </c>
      <c r="P33" s="570" t="str">
        <f t="shared" si="4"/>
        <v/>
      </c>
      <c r="Q33" s="578" t="str">
        <f t="shared" si="5"/>
        <v/>
      </c>
      <c r="R33" s="570" t="str">
        <f t="shared" si="5"/>
        <v/>
      </c>
      <c r="S33" s="578" t="str">
        <f t="shared" si="5"/>
        <v/>
      </c>
      <c r="T33" s="570" t="str">
        <f t="shared" si="5"/>
        <v/>
      </c>
      <c r="U33" s="578" t="str">
        <f t="shared" si="5"/>
        <v/>
      </c>
      <c r="V33" s="570" t="str">
        <f t="shared" si="5"/>
        <v/>
      </c>
      <c r="W33" s="578" t="str">
        <f t="shared" si="5"/>
        <v/>
      </c>
      <c r="X33" s="570" t="str">
        <f t="shared" si="5"/>
        <v/>
      </c>
      <c r="Y33" s="578" t="str">
        <f t="shared" si="5"/>
        <v/>
      </c>
      <c r="Z33" s="570" t="str">
        <f t="shared" si="5"/>
        <v/>
      </c>
      <c r="AA33" s="578" t="str">
        <f t="shared" si="5"/>
        <v/>
      </c>
      <c r="AB33" s="570" t="str">
        <f t="shared" si="5"/>
        <v/>
      </c>
      <c r="AC33" s="578" t="str">
        <f t="shared" si="5"/>
        <v/>
      </c>
      <c r="AD33" s="570" t="str">
        <f t="shared" si="5"/>
        <v/>
      </c>
      <c r="AE33" s="578"/>
      <c r="AF33" s="570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4"/>
        <v/>
      </c>
      <c r="H34" s="570" t="str">
        <f t="shared" si="4"/>
        <v/>
      </c>
      <c r="I34" s="578" t="str">
        <f t="shared" si="4"/>
        <v/>
      </c>
      <c r="J34" s="570" t="str">
        <f t="shared" si="4"/>
        <v/>
      </c>
      <c r="K34" s="578" t="str">
        <f t="shared" si="4"/>
        <v/>
      </c>
      <c r="L34" s="570" t="str">
        <f t="shared" si="4"/>
        <v/>
      </c>
      <c r="M34" s="578" t="str">
        <f t="shared" si="4"/>
        <v/>
      </c>
      <c r="N34" s="570" t="str">
        <f t="shared" si="4"/>
        <v/>
      </c>
      <c r="O34" s="578" t="str">
        <f t="shared" si="4"/>
        <v/>
      </c>
      <c r="P34" s="570" t="str">
        <f t="shared" si="4"/>
        <v/>
      </c>
      <c r="Q34" s="578" t="str">
        <f t="shared" si="5"/>
        <v/>
      </c>
      <c r="R34" s="570" t="str">
        <f t="shared" si="5"/>
        <v/>
      </c>
      <c r="S34" s="578" t="str">
        <f t="shared" si="5"/>
        <v/>
      </c>
      <c r="T34" s="570" t="str">
        <f t="shared" si="5"/>
        <v/>
      </c>
      <c r="U34" s="578" t="str">
        <f t="shared" si="5"/>
        <v/>
      </c>
      <c r="V34" s="570" t="str">
        <f t="shared" si="5"/>
        <v/>
      </c>
      <c r="W34" s="578" t="str">
        <f t="shared" si="5"/>
        <v/>
      </c>
      <c r="X34" s="570" t="str">
        <f t="shared" si="5"/>
        <v/>
      </c>
      <c r="Y34" s="578" t="str">
        <f t="shared" si="5"/>
        <v/>
      </c>
      <c r="Z34" s="570" t="str">
        <f t="shared" si="5"/>
        <v/>
      </c>
      <c r="AA34" s="578" t="str">
        <f t="shared" si="5"/>
        <v/>
      </c>
      <c r="AB34" s="570" t="str">
        <f t="shared" si="5"/>
        <v/>
      </c>
      <c r="AC34" s="578" t="str">
        <f t="shared" si="5"/>
        <v/>
      </c>
      <c r="AD34" s="570" t="str">
        <f t="shared" si="5"/>
        <v/>
      </c>
      <c r="AE34" s="578"/>
      <c r="AF34" s="570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4"/>
        <v/>
      </c>
      <c r="H35" s="570" t="str">
        <f t="shared" si="4"/>
        <v/>
      </c>
      <c r="I35" s="578" t="str">
        <f t="shared" si="4"/>
        <v/>
      </c>
      <c r="J35" s="570" t="str">
        <f t="shared" si="4"/>
        <v/>
      </c>
      <c r="K35" s="578" t="str">
        <f t="shared" si="4"/>
        <v/>
      </c>
      <c r="L35" s="570" t="str">
        <f t="shared" si="4"/>
        <v/>
      </c>
      <c r="M35" s="578" t="str">
        <f t="shared" si="4"/>
        <v/>
      </c>
      <c r="N35" s="570" t="str">
        <f t="shared" si="4"/>
        <v/>
      </c>
      <c r="O35" s="578" t="str">
        <f t="shared" si="4"/>
        <v/>
      </c>
      <c r="P35" s="570" t="str">
        <f t="shared" si="4"/>
        <v/>
      </c>
      <c r="Q35" s="578" t="str">
        <f t="shared" si="5"/>
        <v/>
      </c>
      <c r="R35" s="570" t="str">
        <f t="shared" si="5"/>
        <v/>
      </c>
      <c r="S35" s="578" t="str">
        <f t="shared" si="5"/>
        <v/>
      </c>
      <c r="T35" s="570" t="str">
        <f t="shared" si="5"/>
        <v/>
      </c>
      <c r="U35" s="578" t="str">
        <f t="shared" si="5"/>
        <v/>
      </c>
      <c r="V35" s="570" t="str">
        <f t="shared" si="5"/>
        <v/>
      </c>
      <c r="W35" s="578" t="str">
        <f t="shared" si="5"/>
        <v/>
      </c>
      <c r="X35" s="570" t="str">
        <f t="shared" si="5"/>
        <v/>
      </c>
      <c r="Y35" s="578" t="str">
        <f t="shared" si="5"/>
        <v/>
      </c>
      <c r="Z35" s="570" t="str">
        <f t="shared" si="5"/>
        <v/>
      </c>
      <c r="AA35" s="578" t="str">
        <f t="shared" si="5"/>
        <v/>
      </c>
      <c r="AB35" s="570" t="str">
        <f t="shared" si="5"/>
        <v/>
      </c>
      <c r="AC35" s="578" t="str">
        <f t="shared" si="5"/>
        <v/>
      </c>
      <c r="AD35" s="570" t="str">
        <f t="shared" si="5"/>
        <v/>
      </c>
      <c r="AE35" s="578"/>
      <c r="AF35" s="570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2195</vt:i4>
      </vt:variant>
    </vt:vector>
  </HeadingPairs>
  <TitlesOfParts>
    <vt:vector size="2259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2017-09-22T14:57:36Z</cp:lastPrinted>
  <dcterms:created xsi:type="dcterms:W3CDTF">2000-03-04T00:29:05Z</dcterms:created>
  <dcterms:modified xsi:type="dcterms:W3CDTF">2017-09-24T11:24:56Z</dcterms:modified>
</cp:coreProperties>
</file>